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unaids-my.sharepoint.com/personal/benediktc_unaids_org/Documents/Documents/Global Prevention Coalition/Package for countries - prevention at times of limited resources/"/>
    </mc:Choice>
  </mc:AlternateContent>
  <xr:revisionPtr revIDLastSave="536" documentId="8_{7ECDA734-D08B-4A7A-9217-D21F8C504FAD}" xr6:coauthVersionLast="47" xr6:coauthVersionMax="47" xr10:uidLastSave="{A900783B-A306-4275-A7D4-C0BBCC768B4F}"/>
  <bookViews>
    <workbookView xWindow="-110" yWindow="-110" windowWidth="19420" windowHeight="11500" xr2:uid="{5FC14C44-4F16-48B4-A45B-7A70A7839987}"/>
  </bookViews>
  <sheets>
    <sheet name="Tool" sheetId="1" r:id="rId1"/>
    <sheet name="Condoms-PrEP simple" sheetId="3" r:id="rId2"/>
    <sheet name="Copy" sheetId="2"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4" i="3" l="1"/>
  <c r="S44" i="3" s="1"/>
  <c r="Q44" i="3"/>
  <c r="Q51" i="3" s="1"/>
  <c r="P48" i="3"/>
  <c r="R42" i="3"/>
  <c r="S42" i="3"/>
  <c r="Q43" i="3"/>
  <c r="R43" i="3" s="1"/>
  <c r="S43" i="3" s="1"/>
  <c r="T43" i="3" s="1"/>
  <c r="U43" i="3" s="1"/>
  <c r="V43" i="3" s="1"/>
  <c r="W43" i="3" s="1"/>
  <c r="X43" i="3" s="1"/>
  <c r="Y43" i="3" s="1"/>
  <c r="Z43" i="3" s="1"/>
  <c r="AA43" i="3" s="1"/>
  <c r="AB43" i="3" s="1"/>
  <c r="AC43" i="3" s="1"/>
  <c r="AD43" i="3" s="1"/>
  <c r="AE43" i="3" s="1"/>
  <c r="AF43" i="3" s="1"/>
  <c r="Q42" i="3"/>
  <c r="Q49" i="3" s="1"/>
  <c r="P42" i="3"/>
  <c r="R49" i="3"/>
  <c r="P51" i="3"/>
  <c r="P49" i="3"/>
  <c r="Q12" i="3"/>
  <c r="R12" i="3"/>
  <c r="S12" i="3"/>
  <c r="T12" i="3"/>
  <c r="U12" i="3"/>
  <c r="V12" i="3"/>
  <c r="W12" i="3"/>
  <c r="X12" i="3"/>
  <c r="Y12" i="3"/>
  <c r="Z12" i="3"/>
  <c r="AA12" i="3"/>
  <c r="AB12" i="3"/>
  <c r="AC12" i="3"/>
  <c r="AD12" i="3"/>
  <c r="AE12" i="3"/>
  <c r="AF12" i="3"/>
  <c r="AG12" i="3"/>
  <c r="AH12" i="3"/>
  <c r="AI12" i="3"/>
  <c r="AJ12" i="3"/>
  <c r="AK12" i="3"/>
  <c r="AL12" i="3"/>
  <c r="AM12" i="3"/>
  <c r="AN12" i="3"/>
  <c r="P12" i="3"/>
  <c r="P11" i="3"/>
  <c r="P10" i="3"/>
  <c r="P9" i="3"/>
  <c r="W9" i="3"/>
  <c r="X9" i="3"/>
  <c r="Y9" i="3"/>
  <c r="Z9" i="3"/>
  <c r="AA9" i="3"/>
  <c r="AB9" i="3"/>
  <c r="AC9" i="3"/>
  <c r="AD9" i="3"/>
  <c r="AE9" i="3"/>
  <c r="AF9" i="3"/>
  <c r="AG9" i="3"/>
  <c r="AH9" i="3"/>
  <c r="AI9" i="3"/>
  <c r="AJ9" i="3"/>
  <c r="AK9" i="3"/>
  <c r="AL9" i="3"/>
  <c r="AM9" i="3"/>
  <c r="AN9" i="3"/>
  <c r="W10" i="3"/>
  <c r="X10" i="3"/>
  <c r="Y10" i="3"/>
  <c r="Z10" i="3"/>
  <c r="AA10" i="3"/>
  <c r="AB10" i="3"/>
  <c r="AC10" i="3"/>
  <c r="AD10" i="3"/>
  <c r="AE10" i="3"/>
  <c r="AF10" i="3"/>
  <c r="AG10" i="3"/>
  <c r="AH10" i="3"/>
  <c r="AI10" i="3"/>
  <c r="AJ10" i="3"/>
  <c r="AK10" i="3"/>
  <c r="AL10" i="3"/>
  <c r="AM10" i="3"/>
  <c r="AN10" i="3"/>
  <c r="W11" i="3"/>
  <c r="X11" i="3"/>
  <c r="Y11" i="3"/>
  <c r="Z11" i="3"/>
  <c r="AA11" i="3"/>
  <c r="AB11" i="3"/>
  <c r="AC11" i="3"/>
  <c r="AD11" i="3"/>
  <c r="AE11" i="3"/>
  <c r="AF11" i="3"/>
  <c r="AG11" i="3"/>
  <c r="AH11" i="3"/>
  <c r="AI11" i="3"/>
  <c r="AJ11" i="3"/>
  <c r="AK11" i="3"/>
  <c r="AL11" i="3"/>
  <c r="AM11" i="3"/>
  <c r="AN11" i="3"/>
  <c r="Q9" i="3"/>
  <c r="R9" i="3"/>
  <c r="S9" i="3"/>
  <c r="T9" i="3"/>
  <c r="U9" i="3"/>
  <c r="V9" i="3"/>
  <c r="Q10" i="3"/>
  <c r="R10" i="3"/>
  <c r="S10" i="3"/>
  <c r="T10" i="3"/>
  <c r="U10" i="3"/>
  <c r="V10" i="3"/>
  <c r="Q11" i="3"/>
  <c r="R11" i="3"/>
  <c r="S11" i="3"/>
  <c r="T11" i="3"/>
  <c r="U11" i="3"/>
  <c r="V11" i="3"/>
  <c r="K10" i="3"/>
  <c r="J10" i="3" s="1"/>
  <c r="K11" i="3"/>
  <c r="J11" i="3" s="1"/>
  <c r="K9" i="3"/>
  <c r="J9" i="3" s="1"/>
  <c r="H11" i="3"/>
  <c r="H10" i="3"/>
  <c r="H9" i="3"/>
  <c r="I7" i="1"/>
  <c r="J7" i="1" s="1"/>
  <c r="K7" i="1" s="1"/>
  <c r="L7" i="1"/>
  <c r="M7" i="1"/>
  <c r="N7" i="1"/>
  <c r="I8" i="1"/>
  <c r="J8" i="1"/>
  <c r="K8" i="1"/>
  <c r="L8" i="1"/>
  <c r="M8" i="1"/>
  <c r="N8" i="1"/>
  <c r="I9" i="1"/>
  <c r="J9" i="1"/>
  <c r="K9" i="1" s="1"/>
  <c r="P9" i="1" s="1"/>
  <c r="L9" i="1"/>
  <c r="M9" i="1"/>
  <c r="N9" i="1" s="1"/>
  <c r="I10" i="1"/>
  <c r="J10" i="1" s="1"/>
  <c r="K10" i="1" s="1"/>
  <c r="L10" i="1"/>
  <c r="M10" i="1"/>
  <c r="N10" i="1"/>
  <c r="I11" i="1"/>
  <c r="J11" i="1"/>
  <c r="K11" i="1" s="1"/>
  <c r="P11" i="1" s="1"/>
  <c r="L11" i="1"/>
  <c r="M11" i="1"/>
  <c r="N11" i="1" s="1"/>
  <c r="I12" i="1"/>
  <c r="J12" i="1" s="1"/>
  <c r="K12" i="1" s="1"/>
  <c r="P12" i="1" s="1"/>
  <c r="L12" i="1"/>
  <c r="M12" i="1"/>
  <c r="N12" i="1"/>
  <c r="I13" i="1"/>
  <c r="J13" i="1" s="1"/>
  <c r="K13" i="1" s="1"/>
  <c r="L13" i="1"/>
  <c r="M13" i="1"/>
  <c r="N13" i="1" s="1"/>
  <c r="M14" i="1"/>
  <c r="N14" i="1" s="1"/>
  <c r="I15" i="1"/>
  <c r="J15" i="1" s="1"/>
  <c r="K15" i="1" s="1"/>
  <c r="P15" i="1" s="1"/>
  <c r="L15" i="1"/>
  <c r="M15" i="1"/>
  <c r="N15" i="1"/>
  <c r="I16" i="1"/>
  <c r="J16" i="1"/>
  <c r="K16" i="1" s="1"/>
  <c r="L16" i="1"/>
  <c r="M16" i="1"/>
  <c r="N16" i="1" s="1"/>
  <c r="I17" i="1"/>
  <c r="J17" i="1"/>
  <c r="K17" i="1" s="1"/>
  <c r="L17" i="1"/>
  <c r="M17" i="1"/>
  <c r="N17" i="1"/>
  <c r="I18" i="1"/>
  <c r="J18" i="1"/>
  <c r="K18" i="1"/>
  <c r="P18" i="1" s="1"/>
  <c r="L18" i="1"/>
  <c r="M18" i="1"/>
  <c r="N18" i="1"/>
  <c r="I19" i="1"/>
  <c r="J19" i="1" s="1"/>
  <c r="K19" i="1" s="1"/>
  <c r="L19" i="1"/>
  <c r="M19" i="1"/>
  <c r="N19" i="1" s="1"/>
  <c r="I20" i="1"/>
  <c r="J20" i="1"/>
  <c r="K20" i="1"/>
  <c r="L20" i="1"/>
  <c r="M20" i="1"/>
  <c r="N20" i="1"/>
  <c r="I21" i="1"/>
  <c r="J21" i="1"/>
  <c r="K21" i="1" s="1"/>
  <c r="P21" i="1" s="1"/>
  <c r="L21" i="1"/>
  <c r="M21" i="1"/>
  <c r="N21" i="1"/>
  <c r="T44" i="3" l="1"/>
  <c r="S51" i="3"/>
  <c r="R51" i="3"/>
  <c r="R50" i="3"/>
  <c r="R48" i="3"/>
  <c r="S48" i="3"/>
  <c r="S49" i="3"/>
  <c r="T42" i="3"/>
  <c r="Q50" i="3"/>
  <c r="P50" i="3"/>
  <c r="E9" i="3"/>
  <c r="I9" i="3" s="1"/>
  <c r="E11" i="3"/>
  <c r="I11" i="3" s="1"/>
  <c r="E10" i="3"/>
  <c r="I10" i="3"/>
  <c r="P16" i="1"/>
  <c r="P10" i="1"/>
  <c r="P19" i="1"/>
  <c r="P13" i="1"/>
  <c r="P7" i="1"/>
  <c r="P8" i="1"/>
  <c r="P20" i="1"/>
  <c r="P17" i="1"/>
  <c r="T51" i="3" l="1"/>
  <c r="U44" i="3"/>
  <c r="S50" i="3"/>
  <c r="T48" i="3"/>
  <c r="U42" i="3"/>
  <c r="T49" i="3"/>
  <c r="Q48" i="3"/>
  <c r="F14" i="1"/>
  <c r="T21" i="1"/>
  <c r="T20" i="1"/>
  <c r="T19" i="1"/>
  <c r="T18" i="1"/>
  <c r="T7" i="1"/>
  <c r="L6" i="1"/>
  <c r="M6" i="1"/>
  <c r="N6" i="1" s="1"/>
  <c r="I6" i="1"/>
  <c r="J6" i="1" s="1"/>
  <c r="K6" i="1" s="1"/>
  <c r="T8" i="1"/>
  <c r="T9" i="1"/>
  <c r="T16" i="1"/>
  <c r="T17" i="1"/>
  <c r="T6" i="1"/>
  <c r="T10" i="1"/>
  <c r="T15" i="1"/>
  <c r="T12" i="1"/>
  <c r="M9" i="2"/>
  <c r="M8" i="2"/>
  <c r="M7" i="2"/>
  <c r="M6" i="2"/>
  <c r="M5" i="2"/>
  <c r="M4" i="2"/>
  <c r="E5" i="2"/>
  <c r="E6" i="2"/>
  <c r="E7" i="2"/>
  <c r="E8" i="2"/>
  <c r="E9" i="2"/>
  <c r="E4" i="2"/>
  <c r="E3" i="2"/>
  <c r="I9" i="2"/>
  <c r="J9" i="2" s="1"/>
  <c r="K9" i="2" s="1"/>
  <c r="I8" i="2"/>
  <c r="J8" i="2" s="1"/>
  <c r="K8" i="2" s="1"/>
  <c r="I7" i="2"/>
  <c r="J7" i="2" s="1"/>
  <c r="K7" i="2" s="1"/>
  <c r="I6" i="2"/>
  <c r="J6" i="2" s="1"/>
  <c r="K6" i="2" s="1"/>
  <c r="I5" i="2"/>
  <c r="J5" i="2" s="1"/>
  <c r="K5" i="2" s="1"/>
  <c r="I4" i="2"/>
  <c r="J4" i="2" s="1"/>
  <c r="K4" i="2" s="1"/>
  <c r="V44" i="3" l="1"/>
  <c r="U51" i="3"/>
  <c r="T50" i="3"/>
  <c r="V42" i="3"/>
  <c r="U49" i="3"/>
  <c r="U48" i="3"/>
  <c r="P6" i="1"/>
  <c r="I14" i="1"/>
  <c r="J14" i="1" s="1"/>
  <c r="K14" i="1" s="1"/>
  <c r="O9" i="1" s="1"/>
  <c r="L14" i="1"/>
  <c r="V51" i="3" l="1"/>
  <c r="W44" i="3"/>
  <c r="U50" i="3"/>
  <c r="V48" i="3"/>
  <c r="W42" i="3"/>
  <c r="V49" i="3"/>
  <c r="O18" i="1"/>
  <c r="O16" i="1"/>
  <c r="O15" i="1"/>
  <c r="O17" i="1"/>
  <c r="L5" i="2"/>
  <c r="L7" i="2"/>
  <c r="O12" i="1"/>
  <c r="O20" i="1"/>
  <c r="O11" i="1"/>
  <c r="O13" i="1"/>
  <c r="L6" i="2"/>
  <c r="O7" i="1"/>
  <c r="L8" i="2"/>
  <c r="O10" i="1"/>
  <c r="L4" i="2"/>
  <c r="L9" i="2"/>
  <c r="O6" i="1"/>
  <c r="O14" i="1"/>
  <c r="P14" i="1"/>
  <c r="O8" i="1"/>
  <c r="O19" i="1"/>
  <c r="O21" i="1"/>
  <c r="X44" i="3" l="1"/>
  <c r="W51" i="3"/>
  <c r="V50" i="3"/>
  <c r="X42" i="3"/>
  <c r="W48" i="3"/>
  <c r="W49" i="3"/>
  <c r="Y44" i="3" l="1"/>
  <c r="X51" i="3"/>
  <c r="W50" i="3"/>
  <c r="Y42" i="3"/>
  <c r="X49" i="3"/>
  <c r="Y51" i="3" l="1"/>
  <c r="Z44" i="3"/>
  <c r="X50" i="3"/>
  <c r="X48" i="3"/>
  <c r="Z42" i="3"/>
  <c r="Y48" i="3"/>
  <c r="Y49" i="3"/>
  <c r="AA44" i="3" l="1"/>
  <c r="Z51" i="3"/>
  <c r="Y50" i="3"/>
  <c r="AA42" i="3"/>
  <c r="Z49" i="3"/>
  <c r="AB44" i="3" l="1"/>
  <c r="AA51" i="3"/>
  <c r="Z50" i="3"/>
  <c r="Z48" i="3"/>
  <c r="AA49" i="3"/>
  <c r="AB42" i="3"/>
  <c r="AA48" i="3"/>
  <c r="AC44" i="3" l="1"/>
  <c r="AB51" i="3"/>
  <c r="AA50" i="3"/>
  <c r="AB48" i="3"/>
  <c r="AC42" i="3"/>
  <c r="AB49" i="3"/>
  <c r="AD44" i="3" l="1"/>
  <c r="AC51" i="3"/>
  <c r="AB50" i="3"/>
  <c r="AD42" i="3"/>
  <c r="AC49" i="3"/>
  <c r="AD51" i="3" l="1"/>
  <c r="AE44" i="3"/>
  <c r="AD48" i="3"/>
  <c r="AC50" i="3"/>
  <c r="AC48" i="3"/>
  <c r="AE42" i="3"/>
  <c r="AD49" i="3"/>
  <c r="AF44" i="3" l="1"/>
  <c r="AE51" i="3"/>
  <c r="AD50" i="3"/>
  <c r="AE48" i="3"/>
  <c r="AF42" i="3"/>
  <c r="AG42" i="3" s="1"/>
  <c r="AH42" i="3" s="1"/>
  <c r="AE49" i="3"/>
  <c r="AG43" i="3" l="1"/>
  <c r="AH43" i="3" s="1"/>
  <c r="AE50" i="3"/>
</calcChain>
</file>

<file path=xl/sharedStrings.xml><?xml version="1.0" encoding="utf-8"?>
<sst xmlns="http://schemas.openxmlformats.org/spreadsheetml/2006/main" count="160" uniqueCount="103">
  <si>
    <t>District A</t>
  </si>
  <si>
    <t>District B</t>
  </si>
  <si>
    <t>District C</t>
  </si>
  <si>
    <t>District D</t>
  </si>
  <si>
    <t>Population</t>
  </si>
  <si>
    <t>Young people</t>
  </si>
  <si>
    <t>AGYW</t>
  </si>
  <si>
    <t>Sex workers</t>
  </si>
  <si>
    <t>Intervention</t>
  </si>
  <si>
    <t>PrEP+</t>
  </si>
  <si>
    <t>Condoms+</t>
  </si>
  <si>
    <t>Effect</t>
  </si>
  <si>
    <t>Reached</t>
  </si>
  <si>
    <t>New HIV infections averted</t>
  </si>
  <si>
    <t>New HIV infections expected</t>
  </si>
  <si>
    <t>Cost per person year (USD)</t>
  </si>
  <si>
    <t>City E</t>
  </si>
  <si>
    <t>Gay men, MSM</t>
  </si>
  <si>
    <t>PrEP, condoms+, peer-led</t>
  </si>
  <si>
    <t>PrEP on-demand, condoms+, peer-led</t>
  </si>
  <si>
    <t>District F</t>
  </si>
  <si>
    <t>Women using contraception</t>
  </si>
  <si>
    <t>HTS, PrEP, condoms+</t>
  </si>
  <si>
    <t>Rating</t>
  </si>
  <si>
    <t>Cash transfers+</t>
  </si>
  <si>
    <t>HIV incidence (%)</t>
  </si>
  <si>
    <t>If we target better</t>
  </si>
  <si>
    <t>Cost per infection averted</t>
  </si>
  <si>
    <t>All AGYW, 15-19</t>
  </si>
  <si>
    <t>Condoms+ demand generation</t>
  </si>
  <si>
    <t>Outreach, BCC, structural support</t>
  </si>
  <si>
    <t>Young adults, 20-34</t>
  </si>
  <si>
    <t>Export assumptions</t>
  </si>
  <si>
    <t>People reached (person years)</t>
  </si>
  <si>
    <t>Results with 1 million USD</t>
  </si>
  <si>
    <t>New HIV infections expected without intervention</t>
  </si>
  <si>
    <t>Assumptions</t>
  </si>
  <si>
    <t>Total population in need of program</t>
  </si>
  <si>
    <t>Program description</t>
  </si>
  <si>
    <t>New HIV infections averted (max. if all reached)</t>
  </si>
  <si>
    <t>Total cost (USD)</t>
  </si>
  <si>
    <t>Results for all in need</t>
  </si>
  <si>
    <t>New infections expected without intervention</t>
  </si>
  <si>
    <t xml:space="preserve">Outreach, BCC, structural support, </t>
  </si>
  <si>
    <t>National</t>
  </si>
  <si>
    <t>Cost vs Effect</t>
  </si>
  <si>
    <t>Women &amp; men with non-reg partners, 15-49</t>
  </si>
  <si>
    <t>Women &amp; men at high risk via STI services</t>
  </si>
  <si>
    <t>What is the impact of spending USD 1 million on different HIV prevention investments?</t>
  </si>
  <si>
    <t>Multi-media condom &amp; HTS dampaign</t>
  </si>
  <si>
    <t>VMMC +SRH package (cost annualized)</t>
  </si>
  <si>
    <t>People who inject drugs</t>
  </si>
  <si>
    <t>Men who have sex with men with non-reg partner</t>
  </si>
  <si>
    <t>AGYW 15-24</t>
  </si>
  <si>
    <t>Boys &amp; men, 15-29</t>
  </si>
  <si>
    <t>Sub-national HIV Estimates in Priority Populations Tool | GPC</t>
  </si>
  <si>
    <t>New HIV Infections Among Key Populations and Their Partners in 2010 and 2022, by World Region: A Multisources Estimation - PubMed</t>
  </si>
  <si>
    <t>Obtain country-specific HIV incidence rates for the general population from the SHIPP tool:</t>
  </si>
  <si>
    <t>Consult the following paper for national HIV incidence rates among key populations (note the HIV incidence among MSM with non-regular partners is likely higher than for all MSM):</t>
  </si>
  <si>
    <t>Cost assumptions were roughly guided by programmatic practice. In some, often donor-funded programmes, unit costs are higher. In some, often domestically funded programs, unit cost may be lower.</t>
  </si>
  <si>
    <r>
      <rPr>
        <b/>
        <sz val="9"/>
        <color theme="1"/>
        <rFont val="Calibri"/>
        <family val="2"/>
        <scheme val="minor"/>
      </rPr>
      <t>IMPORTANT: This basic tool does not replace nuanced mathematical modelling analyses of impact and cost-effectiveness.</t>
    </r>
    <r>
      <rPr>
        <sz val="9"/>
        <color theme="1"/>
        <rFont val="Calibri"/>
        <family val="2"/>
        <scheme val="minor"/>
      </rPr>
      <t xml:space="preserve"> This exercise is a highly simplified approach showing effects over 1 year. To get a more precise picture many other dimensions would need to be considered. For example, in a mathematical model one would consider intervention interactions (which often means that the cost per infection averted for individual interventions is higher, because HIV infections are already averted by other interventions). One would also consider long-term effects. For example, new HIV infections among sex workers could result in other new infections relatively quickly, and hence preventing new infections among sex workers would be much more cost-effective in the long-run. New infections in stable discordant couples would not result in other new infections, unless through vertical transmission. All interventions have non-HIV benefits including for other STIs, other SRH or wider social benefits (OAT, cash transfers). Those are not reflected here.</t>
    </r>
  </si>
  <si>
    <t>Notes</t>
  </si>
  <si>
    <t>Modify only the white cells, cell shaded in blue and the color-coded ratings will be calculated automatically.</t>
  </si>
  <si>
    <t>All examples provided are purely illustrative and should be adjusted to country realities. The pre-filled examples and HIV incidence assumptions were roughly guided by realities of medium-sized countries in southern African contexts with HIV prevalence of around 10%. Modify existing examples and add more rows as required and copy formulas across.</t>
  </si>
  <si>
    <t>Cost per HIV infection averted</t>
  </si>
  <si>
    <t>Rating of HIV impact
 (0-10)</t>
  </si>
  <si>
    <t>The rating of HIV impact and associated color-coding only compares the interventions in this spreadsheet in the country context. It does not imply globally valid comparison.</t>
  </si>
  <si>
    <t>Districts (Type A)</t>
  </si>
  <si>
    <t>Districts (Type B)</t>
  </si>
  <si>
    <r>
      <t xml:space="preserve">Location  </t>
    </r>
    <r>
      <rPr>
        <sz val="8"/>
        <color theme="0"/>
        <rFont val="Calibri"/>
        <family val="2"/>
        <scheme val="minor"/>
      </rPr>
      <t>(Type A - moderate HIV, Type B - high HIV)</t>
    </r>
  </si>
  <si>
    <t>Tool for examining HIV prevention impact and cost-effectiveness assumptions</t>
  </si>
  <si>
    <t>Effectiveness assumptions should be based on expected real-life effectiveness, eg condoms' laboratory effectiveness is close to 100%, but with typical use, the effect of free public distribution and basic promotion might only be 30%.</t>
  </si>
  <si>
    <t>Program package</t>
  </si>
  <si>
    <t>PrEP, condoms+, peer-led, structural</t>
  </si>
  <si>
    <t>Condoms+ peer-led outreach, structural</t>
  </si>
  <si>
    <t>PrEP, condoms+, virtual/ peer-led, structural</t>
  </si>
  <si>
    <t>Condoms+ peer-led/virtual outreach, structural</t>
  </si>
  <si>
    <t>Needles, syringes, peer-led outreach, structural</t>
  </si>
  <si>
    <t>OAT, needles, syringes, peer-led outreach, structural</t>
  </si>
  <si>
    <t>What are the thresholds when more effective, but also more costly prevention options become more cost-effective?</t>
  </si>
  <si>
    <t>Prevention option</t>
  </si>
  <si>
    <t>Cost assumptions</t>
  </si>
  <si>
    <t>Condoms</t>
  </si>
  <si>
    <t>Long-acting injectable PrEP</t>
  </si>
  <si>
    <t>Oral PrEP: Annual commodity cost 40 USD plus programme cost</t>
  </si>
  <si>
    <t>Injectable PrEP: Annual commodity cost 120 USD plus programme cost</t>
  </si>
  <si>
    <t>Male condom commodity cost 0.03*100 condoms per year = USD 3 per year, plus programme cost</t>
  </si>
  <si>
    <t>HIV incidence rate</t>
  </si>
  <si>
    <t>Cost per infection averted for different HIV incidence rates</t>
  </si>
  <si>
    <t>Targeted cost per HIV infection averted</t>
  </si>
  <si>
    <t>USD</t>
  </si>
  <si>
    <t>Enter here (USD)</t>
  </si>
  <si>
    <t>1000000/J</t>
  </si>
  <si>
    <t>Threshold (user-defined)</t>
  </si>
  <si>
    <t>Oral-PrEP</t>
  </si>
  <si>
    <t>HIV incidence rate thresholds for a specific cost per infection averted</t>
  </si>
  <si>
    <t>LA-Prep</t>
  </si>
  <si>
    <r>
      <rPr>
        <b/>
        <sz val="11"/>
        <color theme="1"/>
        <rFont val="Calibri"/>
        <family val="2"/>
        <scheme val="minor"/>
      </rPr>
      <t>Cost per infection averted considering different intensity of condom and oral PrEP provision</t>
    </r>
    <r>
      <rPr>
        <b/>
        <sz val="10"/>
        <color theme="1"/>
        <rFont val="Calibri"/>
        <family val="2"/>
        <scheme val="minor"/>
      </rPr>
      <t xml:space="preserve"> </t>
    </r>
    <r>
      <rPr>
        <sz val="10"/>
        <color theme="1"/>
        <rFont val="Calibri"/>
        <family val="2"/>
        <scheme val="minor"/>
      </rPr>
      <t>(based on individual frequency of sex acts and differential demand generation cost)</t>
    </r>
  </si>
  <si>
    <r>
      <t>Increasing cost steps for condoms and oral PrEP</t>
    </r>
    <r>
      <rPr>
        <sz val="10"/>
        <color theme="0"/>
        <rFont val="Calibri"/>
        <family val="2"/>
        <scheme val="minor"/>
      </rPr>
      <t xml:space="preserve"> in USD per person year
Considering 1) frequency of use throughout the year and 2) increasing intensity of support and demand generation required to reach people and ensure consistent use</t>
    </r>
  </si>
  <si>
    <t>Annual cost per person year (condoms/ oral PrEP)</t>
  </si>
  <si>
    <t>Cost per infection averted  (in USD</t>
  </si>
  <si>
    <t>Assumed HIV incidence rate</t>
  </si>
  <si>
    <t>Assumed effectiveness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</si>
</sst>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23" x14ac:knownFonts="1">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0"/>
      <color theme="0"/>
      <name val="Calibri"/>
      <family val="2"/>
      <scheme val="minor"/>
    </font>
    <font>
      <b/>
      <sz val="10"/>
      <color theme="0"/>
      <name val="Calibri"/>
      <family val="2"/>
      <scheme val="minor"/>
    </font>
    <font>
      <b/>
      <sz val="12"/>
      <color theme="1"/>
      <name val="Calibri"/>
      <family val="2"/>
      <scheme val="minor"/>
    </font>
    <font>
      <sz val="9"/>
      <color theme="1"/>
      <name val="Calibri"/>
      <family val="2"/>
      <scheme val="minor"/>
    </font>
    <font>
      <sz val="8"/>
      <name val="Calibri"/>
      <family val="2"/>
      <scheme val="minor"/>
    </font>
    <font>
      <b/>
      <sz val="11"/>
      <color theme="0"/>
      <name val="Calibri"/>
      <family val="2"/>
      <scheme val="minor"/>
    </font>
    <font>
      <u/>
      <sz val="11"/>
      <color theme="10"/>
      <name val="Calibri"/>
      <family val="2"/>
      <scheme val="minor"/>
    </font>
    <font>
      <b/>
      <sz val="14"/>
      <color rgb="FF009999"/>
      <name val="Calibri"/>
      <family val="2"/>
      <scheme val="minor"/>
    </font>
    <font>
      <u/>
      <sz val="10"/>
      <color theme="10"/>
      <name val="Calibri"/>
      <family val="2"/>
      <scheme val="minor"/>
    </font>
    <font>
      <b/>
      <sz val="9"/>
      <color theme="1"/>
      <name val="Calibri"/>
      <family val="2"/>
      <scheme val="minor"/>
    </font>
    <font>
      <sz val="8"/>
      <color theme="0"/>
      <name val="Calibri"/>
      <family val="2"/>
      <scheme val="minor"/>
    </font>
    <font>
      <b/>
      <sz val="11"/>
      <color rgb="FF009999"/>
      <name val="Calibri"/>
      <family val="2"/>
      <scheme val="minor"/>
    </font>
    <font>
      <i/>
      <sz val="10"/>
      <color theme="1"/>
      <name val="Calibri"/>
      <family val="2"/>
      <scheme val="minor"/>
    </font>
    <font>
      <b/>
      <sz val="10.5"/>
      <color rgb="FFC00000"/>
      <name val="Calibri"/>
      <family val="2"/>
      <scheme val="minor"/>
    </font>
    <font>
      <b/>
      <sz val="11"/>
      <color theme="1"/>
      <name val="Calibri"/>
      <family val="2"/>
      <scheme val="minor"/>
    </font>
    <font>
      <i/>
      <sz val="11"/>
      <color rgb="FFFFFF00"/>
      <name val="Calibri"/>
      <family val="2"/>
      <scheme val="minor"/>
    </font>
    <font>
      <b/>
      <sz val="14"/>
      <color rgb="FF00B050"/>
      <name val="Calibri"/>
      <family val="2"/>
      <scheme val="minor"/>
    </font>
    <font>
      <b/>
      <sz val="14"/>
      <color theme="1"/>
      <name val="Calibri"/>
      <family val="2"/>
      <scheme val="minor"/>
    </font>
    <font>
      <b/>
      <sz val="12"/>
      <color theme="0"/>
      <name val="Calibri"/>
      <family val="2"/>
      <scheme val="minor"/>
    </font>
  </fonts>
  <fills count="8">
    <fill>
      <patternFill patternType="none"/>
    </fill>
    <fill>
      <patternFill patternType="gray125"/>
    </fill>
    <fill>
      <patternFill patternType="solid">
        <fgColor theme="9" tint="0.79998168889431442"/>
        <bgColor indexed="64"/>
      </patternFill>
    </fill>
    <fill>
      <patternFill patternType="solid">
        <fgColor theme="9"/>
        <bgColor indexed="64"/>
      </patternFill>
    </fill>
    <fill>
      <patternFill patternType="solid">
        <fgColor rgb="FF006666"/>
        <bgColor indexed="64"/>
      </patternFill>
    </fill>
    <fill>
      <patternFill patternType="solid">
        <fgColor rgb="FF009999"/>
        <bgColor indexed="64"/>
      </patternFill>
    </fill>
    <fill>
      <patternFill patternType="solid">
        <fgColor theme="8" tint="0.79998168889431442"/>
        <bgColor indexed="64"/>
      </patternFill>
    </fill>
    <fill>
      <patternFill patternType="solid">
        <fgColor theme="0"/>
        <bgColor indexed="64"/>
      </patternFill>
    </fill>
  </fills>
  <borders count="15">
    <border>
      <left/>
      <right/>
      <top/>
      <bottom/>
      <diagonal/>
    </border>
    <border>
      <left style="thin">
        <color theme="9"/>
      </left>
      <right style="thin">
        <color theme="9"/>
      </right>
      <top style="thin">
        <color theme="9"/>
      </top>
      <bottom style="thin">
        <color theme="9"/>
      </bottom>
      <diagonal/>
    </border>
    <border>
      <left style="thin">
        <color theme="9"/>
      </left>
      <right style="thin">
        <color theme="9"/>
      </right>
      <top/>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bottom/>
      <diagonal/>
    </border>
    <border>
      <left style="thin">
        <color theme="2" tint="-0.24994659260841701"/>
      </left>
      <right/>
      <top/>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right/>
      <top/>
      <bottom style="thin">
        <color theme="2" tint="-0.24994659260841701"/>
      </bottom>
      <diagonal/>
    </border>
    <border>
      <left/>
      <right style="thin">
        <color theme="2" tint="-0.24994659260841701"/>
      </right>
      <top/>
      <bottom/>
      <diagonal/>
    </border>
    <border>
      <left/>
      <right style="thin">
        <color theme="2" tint="-0.24994659260841701"/>
      </right>
      <top/>
      <bottom style="thin">
        <color theme="2" tint="-0.24994659260841701"/>
      </bottom>
      <diagonal/>
    </border>
  </borders>
  <cellStyleXfs count="3">
    <xf numFmtId="0" fontId="0" fillId="0" borderId="0"/>
    <xf numFmtId="164" fontId="1" fillId="0" borderId="0" applyFont="0" applyFill="0" applyBorder="0" applyAlignment="0" applyProtection="0"/>
    <xf numFmtId="0" fontId="10" fillId="0" borderId="0" applyNumberFormat="0" applyFill="0" applyBorder="0" applyAlignment="0" applyProtection="0"/>
  </cellStyleXfs>
  <cellXfs count="68">
    <xf numFmtId="0" fontId="0" fillId="0" borderId="0" xfId="0"/>
    <xf numFmtId="0" fontId="2" fillId="0" borderId="1" xfId="0" applyFont="1" applyBorder="1" applyAlignment="1">
      <alignment vertical="center"/>
    </xf>
    <xf numFmtId="0" fontId="3" fillId="0" borderId="1" xfId="0" applyFont="1" applyBorder="1" applyAlignment="1">
      <alignment horizontal="center" vertical="center"/>
    </xf>
    <xf numFmtId="165" fontId="3" fillId="0" borderId="1" xfId="1" applyNumberFormat="1" applyFont="1" applyBorder="1" applyAlignment="1">
      <alignment vertical="center"/>
    </xf>
    <xf numFmtId="165" fontId="3" fillId="0" borderId="1" xfId="0" applyNumberFormat="1" applyFont="1" applyBorder="1" applyAlignment="1">
      <alignment vertical="center"/>
    </xf>
    <xf numFmtId="165" fontId="3" fillId="0" borderId="1" xfId="1" applyNumberFormat="1" applyFont="1" applyFill="1" applyBorder="1" applyAlignment="1">
      <alignment vertical="center"/>
    </xf>
    <xf numFmtId="0" fontId="4" fillId="3" borderId="1" xfId="0" applyFont="1" applyFill="1" applyBorder="1" applyAlignment="1">
      <alignment wrapText="1"/>
    </xf>
    <xf numFmtId="0" fontId="5" fillId="3" borderId="1" xfId="0" applyFont="1" applyFill="1" applyBorder="1" applyAlignment="1">
      <alignment horizontal="center" vertical="center" wrapText="1"/>
    </xf>
    <xf numFmtId="165" fontId="3" fillId="2" borderId="1" xfId="0" applyNumberFormat="1" applyFont="1" applyFill="1" applyBorder="1" applyAlignment="1">
      <alignment vertical="center"/>
    </xf>
    <xf numFmtId="0" fontId="5" fillId="3" borderId="2" xfId="0" applyFont="1" applyFill="1" applyBorder="1" applyAlignment="1">
      <alignment horizontal="center" vertical="center" wrapText="1"/>
    </xf>
    <xf numFmtId="9" fontId="3" fillId="0" borderId="1" xfId="0" applyNumberFormat="1" applyFont="1" applyBorder="1" applyAlignment="1">
      <alignment horizontal="center" vertical="center"/>
    </xf>
    <xf numFmtId="1" fontId="6"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7" fillId="0" borderId="0" xfId="0" applyFont="1" applyAlignment="1">
      <alignment horizontal="left" vertical="center" wrapText="1"/>
    </xf>
    <xf numFmtId="0" fontId="5" fillId="5" borderId="3" xfId="0" applyFont="1" applyFill="1" applyBorder="1" applyAlignment="1">
      <alignment vertical="center" wrapText="1"/>
    </xf>
    <xf numFmtId="0" fontId="5" fillId="5" borderId="3" xfId="0" applyFont="1" applyFill="1" applyBorder="1" applyAlignment="1">
      <alignment horizontal="center" vertical="center" wrapText="1"/>
    </xf>
    <xf numFmtId="0" fontId="2"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3" xfId="0" applyFont="1" applyBorder="1" applyAlignment="1">
      <alignment horizontal="center" vertical="center"/>
    </xf>
    <xf numFmtId="9" fontId="3" fillId="0" borderId="3" xfId="0" applyNumberFormat="1" applyFont="1" applyBorder="1" applyAlignment="1">
      <alignment horizontal="center" vertical="center"/>
    </xf>
    <xf numFmtId="1" fontId="6" fillId="0" borderId="3" xfId="0" applyNumberFormat="1" applyFont="1" applyBorder="1" applyAlignment="1">
      <alignment horizontal="center" vertical="center"/>
    </xf>
    <xf numFmtId="0" fontId="2" fillId="0" borderId="3" xfId="0" applyFont="1" applyBorder="1" applyAlignment="1">
      <alignment vertical="center"/>
    </xf>
    <xf numFmtId="0" fontId="5" fillId="5" borderId="7" xfId="0" applyFont="1" applyFill="1" applyBorder="1" applyAlignment="1">
      <alignment horizontal="center" vertical="center" wrapText="1"/>
    </xf>
    <xf numFmtId="165" fontId="3" fillId="6" borderId="3" xfId="1" applyNumberFormat="1" applyFont="1" applyFill="1" applyBorder="1" applyAlignment="1">
      <alignment vertical="center"/>
    </xf>
    <xf numFmtId="165" fontId="3" fillId="6" borderId="3" xfId="0" applyNumberFormat="1" applyFont="1" applyFill="1" applyBorder="1" applyAlignment="1">
      <alignment vertical="center"/>
    </xf>
    <xf numFmtId="165" fontId="3" fillId="7" borderId="3" xfId="0" applyNumberFormat="1" applyFont="1" applyFill="1" applyBorder="1" applyAlignment="1">
      <alignment vertical="center"/>
    </xf>
    <xf numFmtId="0" fontId="11" fillId="0" borderId="0" xfId="0" applyFont="1"/>
    <xf numFmtId="0" fontId="3" fillId="0" borderId="0" xfId="0" applyFont="1" applyAlignment="1">
      <alignment horizontal="left" vertical="center"/>
    </xf>
    <xf numFmtId="0" fontId="3" fillId="0" borderId="0" xfId="0" applyFont="1" applyAlignment="1">
      <alignment horizontal="left" vertical="center" wrapText="1"/>
    </xf>
    <xf numFmtId="0" fontId="12" fillId="0" borderId="0" xfId="2" applyFont="1"/>
    <xf numFmtId="0" fontId="3" fillId="0" borderId="0" xfId="0" applyFont="1"/>
    <xf numFmtId="0" fontId="15" fillId="0" borderId="0" xfId="0" applyFont="1" applyAlignment="1">
      <alignment vertical="center"/>
    </xf>
    <xf numFmtId="0" fontId="16" fillId="0" borderId="0" xfId="0" applyFont="1"/>
    <xf numFmtId="0" fontId="17" fillId="0" borderId="0" xfId="0" applyFont="1"/>
    <xf numFmtId="0" fontId="9" fillId="4" borderId="4" xfId="0" applyFont="1" applyFill="1" applyBorder="1" applyAlignment="1">
      <alignment horizontal="center"/>
    </xf>
    <xf numFmtId="0" fontId="9" fillId="4" borderId="6" xfId="0" applyFont="1" applyFill="1" applyBorder="1" applyAlignment="1">
      <alignment horizontal="center"/>
    </xf>
    <xf numFmtId="0" fontId="5" fillId="5" borderId="8" xfId="0" applyFont="1" applyFill="1" applyBorder="1" applyAlignment="1">
      <alignment horizontal="center" vertical="center" wrapText="1"/>
    </xf>
    <xf numFmtId="165" fontId="3" fillId="0" borderId="3" xfId="1" applyNumberFormat="1" applyFont="1" applyBorder="1" applyAlignment="1">
      <alignment horizontal="center" vertical="center"/>
    </xf>
    <xf numFmtId="164" fontId="20" fillId="0" borderId="3" xfId="1" applyFont="1" applyBorder="1" applyAlignment="1">
      <alignment horizontal="center" vertical="center"/>
    </xf>
    <xf numFmtId="0" fontId="21" fillId="0" borderId="0" xfId="0" applyFont="1"/>
    <xf numFmtId="0" fontId="5" fillId="5" borderId="0" xfId="0" applyFont="1" applyFill="1" applyAlignment="1">
      <alignment vertical="center" wrapText="1"/>
    </xf>
    <xf numFmtId="0" fontId="3" fillId="0" borderId="3" xfId="0" applyFont="1" applyBorder="1" applyAlignment="1">
      <alignment horizontal="center"/>
    </xf>
    <xf numFmtId="0" fontId="3" fillId="0" borderId="0" xfId="0" applyFont="1" applyAlignment="1">
      <alignment horizontal="center"/>
    </xf>
    <xf numFmtId="0" fontId="5" fillId="5" borderId="8" xfId="0" applyFont="1" applyFill="1" applyBorder="1" applyAlignment="1">
      <alignment horizontal="left" vertical="center" wrapText="1"/>
    </xf>
    <xf numFmtId="9" fontId="3" fillId="0" borderId="3" xfId="0" applyNumberFormat="1" applyFont="1" applyBorder="1" applyAlignment="1">
      <alignment horizontal="center"/>
    </xf>
    <xf numFmtId="165" fontId="3" fillId="0" borderId="3" xfId="1" applyNumberFormat="1" applyFont="1" applyBorder="1" applyAlignment="1">
      <alignment horizontal="center"/>
    </xf>
    <xf numFmtId="0" fontId="7" fillId="0" borderId="0" xfId="0" applyFont="1" applyAlignment="1">
      <alignment horizontal="left" vertical="center" wrapText="1"/>
    </xf>
    <xf numFmtId="0" fontId="9" fillId="4" borderId="4" xfId="0" applyFont="1" applyFill="1" applyBorder="1" applyAlignment="1">
      <alignment horizontal="center"/>
    </xf>
    <xf numFmtId="0" fontId="9" fillId="4" borderId="5" xfId="0" applyFont="1" applyFill="1" applyBorder="1" applyAlignment="1">
      <alignment horizontal="center"/>
    </xf>
    <xf numFmtId="0" fontId="9" fillId="4" borderId="6" xfId="0" applyFont="1" applyFill="1" applyBorder="1" applyAlignment="1">
      <alignment horizontal="center"/>
    </xf>
    <xf numFmtId="0" fontId="5" fillId="5" borderId="0" xfId="0" applyFont="1" applyFill="1" applyAlignment="1">
      <alignment horizontal="center" vertical="center" wrapText="1"/>
    </xf>
    <xf numFmtId="0" fontId="5" fillId="5"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2" fillId="0" borderId="0" xfId="0" applyFont="1" applyAlignment="1">
      <alignment vertical="center" wrapText="1"/>
    </xf>
    <xf numFmtId="0" fontId="9" fillId="4" borderId="8" xfId="0" applyFont="1" applyFill="1" applyBorder="1" applyAlignment="1">
      <alignment horizontal="center"/>
    </xf>
    <xf numFmtId="0" fontId="9" fillId="4" borderId="0" xfId="0" applyFont="1" applyFill="1" applyAlignment="1">
      <alignment horizont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19" fillId="4" borderId="4" xfId="0" applyFont="1" applyFill="1" applyBorder="1" applyAlignment="1">
      <alignment horizontal="center"/>
    </xf>
    <xf numFmtId="0" fontId="22" fillId="4" borderId="4" xfId="0" applyFont="1" applyFill="1" applyBorder="1" applyAlignment="1">
      <alignment horizontal="center"/>
    </xf>
    <xf numFmtId="0" fontId="22" fillId="4" borderId="5" xfId="0" applyFont="1" applyFill="1" applyBorder="1" applyAlignment="1">
      <alignment horizontal="center"/>
    </xf>
    <xf numFmtId="0" fontId="22" fillId="4" borderId="6" xfId="0" applyFont="1" applyFill="1" applyBorder="1" applyAlignment="1">
      <alignment horizontal="center"/>
    </xf>
    <xf numFmtId="164" fontId="18" fillId="7" borderId="4" xfId="1" applyFont="1" applyFill="1" applyBorder="1" applyAlignment="1">
      <alignment horizontal="center"/>
    </xf>
    <xf numFmtId="164" fontId="18" fillId="7" borderId="5" xfId="1" applyFont="1" applyFill="1" applyBorder="1" applyAlignment="1">
      <alignment horizontal="center"/>
    </xf>
    <xf numFmtId="164" fontId="18" fillId="7" borderId="6" xfId="1" applyFont="1" applyFill="1" applyBorder="1" applyAlignment="1">
      <alignment horizontal="center"/>
    </xf>
  </cellXfs>
  <cellStyles count="3">
    <cellStyle name="Comma" xfId="1" builtinId="3"/>
    <cellStyle name="Hyperlink" xfId="2" builtinId="8"/>
    <cellStyle name="Normal" xfId="0" builtinId="0"/>
  </cellStyles>
  <dxfs count="0"/>
  <tableStyles count="0" defaultTableStyle="TableStyleMedium2" defaultPivotStyle="PivotStyleLight16"/>
  <colors>
    <mruColors>
      <color rgb="FFCC3399"/>
      <color rgb="FF006666"/>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Cost per infection averted for different HIV incidence rates </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CH"/>
        </a:p>
      </c:txPr>
    </c:title>
    <c:autoTitleDeleted val="0"/>
    <c:plotArea>
      <c:layout>
        <c:manualLayout>
          <c:layoutTarget val="inner"/>
          <c:xMode val="edge"/>
          <c:yMode val="edge"/>
          <c:x val="0.16241940345692082"/>
          <c:y val="0.11404120502636285"/>
          <c:w val="0.82388622990753602"/>
          <c:h val="0.62147882842078361"/>
        </c:manualLayout>
      </c:layout>
      <c:lineChart>
        <c:grouping val="standard"/>
        <c:varyColors val="0"/>
        <c:ser>
          <c:idx val="0"/>
          <c:order val="0"/>
          <c:tx>
            <c:strRef>
              <c:f>'Condoms-PrEP simple'!$M$9</c:f>
              <c:strCache>
                <c:ptCount val="1"/>
                <c:pt idx="0">
                  <c:v>Condoms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'Condoms-PrEP simple'!$P$8:$AI$8</c:f>
              <c:numCache>
                <c:formatCode>General</c:formatCode>
                <c:ptCount val="20"/>
                <c:pt idx="0">
                  <c:v>0.2</c:v>
                </c:pt>
                <c:pt idx="1">
                  <c:v>0.4</c:v>
                </c:pt>
                <c:pt idx="2">
                  <c:v>0.6</c:v>
                </c:pt>
                <c:pt idx="3">
                  <c:v>0.8</c:v>
                </c:pt>
                <c:pt idx="4">
                  <c:v>1</c:v>
                </c:pt>
                <c:pt idx="5">
                  <c:v>1.2</c:v>
                </c:pt>
                <c:pt idx="6">
                  <c:v>1.4</c:v>
                </c:pt>
                <c:pt idx="7">
                  <c:v>1.6</c:v>
                </c:pt>
                <c:pt idx="8">
                  <c:v>1.8</c:v>
                </c:pt>
                <c:pt idx="9">
                  <c:v>2</c:v>
                </c:pt>
                <c:pt idx="10">
                  <c:v>2.2000000000000002</c:v>
                </c:pt>
                <c:pt idx="11">
                  <c:v>2.4</c:v>
                </c:pt>
                <c:pt idx="12">
                  <c:v>2.6</c:v>
                </c:pt>
                <c:pt idx="13">
                  <c:v>2.8</c:v>
                </c:pt>
                <c:pt idx="14">
                  <c:v>3</c:v>
                </c:pt>
                <c:pt idx="15">
                  <c:v>3.2</c:v>
                </c:pt>
                <c:pt idx="16">
                  <c:v>3.4</c:v>
                </c:pt>
                <c:pt idx="17">
                  <c:v>3.6</c:v>
                </c:pt>
                <c:pt idx="18">
                  <c:v>3.8</c:v>
                </c:pt>
                <c:pt idx="19">
                  <c:v>4</c:v>
                </c:pt>
              </c:numCache>
            </c:numRef>
          </c:cat>
          <c:val>
            <c:numRef>
              <c:f>'Condoms-PrEP simple'!$P$9:$AI$9</c:f>
              <c:numCache>
                <c:formatCode>_(* #,##0_);_(* \(#,##0\);_(* "-"??_);_(@_)</c:formatCode>
                <c:ptCount val="20"/>
                <c:pt idx="0">
                  <c:v>12500</c:v>
                </c:pt>
                <c:pt idx="1">
                  <c:v>6250</c:v>
                </c:pt>
                <c:pt idx="2">
                  <c:v>4166.6666666666661</c:v>
                </c:pt>
                <c:pt idx="3">
                  <c:v>3125</c:v>
                </c:pt>
                <c:pt idx="4">
                  <c:v>2500</c:v>
                </c:pt>
                <c:pt idx="5">
                  <c:v>2083.333333333333</c:v>
                </c:pt>
                <c:pt idx="6">
                  <c:v>1785.7142857142858</c:v>
                </c:pt>
                <c:pt idx="7">
                  <c:v>1562.5</c:v>
                </c:pt>
                <c:pt idx="8">
                  <c:v>1388.8888888888887</c:v>
                </c:pt>
                <c:pt idx="9">
                  <c:v>1250</c:v>
                </c:pt>
                <c:pt idx="10">
                  <c:v>1136.3636363636363</c:v>
                </c:pt>
                <c:pt idx="11">
                  <c:v>1041.6666666666665</c:v>
                </c:pt>
                <c:pt idx="12">
                  <c:v>961.53846153846143</c:v>
                </c:pt>
                <c:pt idx="13">
                  <c:v>892.85714285714289</c:v>
                </c:pt>
                <c:pt idx="14">
                  <c:v>833.33333333333337</c:v>
                </c:pt>
                <c:pt idx="15">
                  <c:v>781.25</c:v>
                </c:pt>
                <c:pt idx="16">
                  <c:v>735.29411764705878</c:v>
                </c:pt>
                <c:pt idx="17">
                  <c:v>694.44444444444434</c:v>
                </c:pt>
                <c:pt idx="18">
                  <c:v>657.89473684210532</c:v>
                </c:pt>
                <c:pt idx="19">
                  <c:v>625</c:v>
                </c:pt>
              </c:numCache>
            </c:numRef>
          </c:val>
          <c:smooth val="0"/>
          <c:extLst>
            <c:ext xmlns:c16="http://schemas.microsoft.com/office/drawing/2014/chart" uri="{C3380CC4-5D6E-409C-BE32-E72D297353CC}">
              <c16:uniqueId val="{00000000-857C-4B03-A6D0-0A3A970DBCBF}"/>
            </c:ext>
          </c:extLst>
        </c:ser>
        <c:ser>
          <c:idx val="1"/>
          <c:order val="1"/>
          <c:tx>
            <c:strRef>
              <c:f>'Condoms-PrEP simple'!$M$10</c:f>
              <c:strCache>
                <c:ptCount val="1"/>
                <c:pt idx="0">
                  <c:v>Oral-PrEP</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'Condoms-PrEP simple'!$P$8:$AI$8</c:f>
              <c:numCache>
                <c:formatCode>General</c:formatCode>
                <c:ptCount val="20"/>
                <c:pt idx="0">
                  <c:v>0.2</c:v>
                </c:pt>
                <c:pt idx="1">
                  <c:v>0.4</c:v>
                </c:pt>
                <c:pt idx="2">
                  <c:v>0.6</c:v>
                </c:pt>
                <c:pt idx="3">
                  <c:v>0.8</c:v>
                </c:pt>
                <c:pt idx="4">
                  <c:v>1</c:v>
                </c:pt>
                <c:pt idx="5">
                  <c:v>1.2</c:v>
                </c:pt>
                <c:pt idx="6">
                  <c:v>1.4</c:v>
                </c:pt>
                <c:pt idx="7">
                  <c:v>1.6</c:v>
                </c:pt>
                <c:pt idx="8">
                  <c:v>1.8</c:v>
                </c:pt>
                <c:pt idx="9">
                  <c:v>2</c:v>
                </c:pt>
                <c:pt idx="10">
                  <c:v>2.2000000000000002</c:v>
                </c:pt>
                <c:pt idx="11">
                  <c:v>2.4</c:v>
                </c:pt>
                <c:pt idx="12">
                  <c:v>2.6</c:v>
                </c:pt>
                <c:pt idx="13">
                  <c:v>2.8</c:v>
                </c:pt>
                <c:pt idx="14">
                  <c:v>3</c:v>
                </c:pt>
                <c:pt idx="15">
                  <c:v>3.2</c:v>
                </c:pt>
                <c:pt idx="16">
                  <c:v>3.4</c:v>
                </c:pt>
                <c:pt idx="17">
                  <c:v>3.6</c:v>
                </c:pt>
                <c:pt idx="18">
                  <c:v>3.8</c:v>
                </c:pt>
                <c:pt idx="19">
                  <c:v>4</c:v>
                </c:pt>
              </c:numCache>
            </c:numRef>
          </c:cat>
          <c:val>
            <c:numRef>
              <c:f>'Condoms-PrEP simple'!$P$10:$AI$10</c:f>
              <c:numCache>
                <c:formatCode>_(* #,##0_);_(* \(#,##0\);_(* "-"??_);_(@_)</c:formatCode>
                <c:ptCount val="20"/>
                <c:pt idx="0">
                  <c:v>58333.333333333336</c:v>
                </c:pt>
                <c:pt idx="1">
                  <c:v>29166.666666666668</c:v>
                </c:pt>
                <c:pt idx="2">
                  <c:v>19444.444444444445</c:v>
                </c:pt>
                <c:pt idx="3">
                  <c:v>14583.333333333334</c:v>
                </c:pt>
                <c:pt idx="4">
                  <c:v>11666.666666666666</c:v>
                </c:pt>
                <c:pt idx="5">
                  <c:v>9722.2222222222226</c:v>
                </c:pt>
                <c:pt idx="6">
                  <c:v>8333.3333333333339</c:v>
                </c:pt>
                <c:pt idx="7">
                  <c:v>7291.666666666667</c:v>
                </c:pt>
                <c:pt idx="8">
                  <c:v>6481.4814814814808</c:v>
                </c:pt>
                <c:pt idx="9">
                  <c:v>5833.333333333333</c:v>
                </c:pt>
                <c:pt idx="10">
                  <c:v>5303.0303030303021</c:v>
                </c:pt>
                <c:pt idx="11">
                  <c:v>4861.1111111111113</c:v>
                </c:pt>
                <c:pt idx="12">
                  <c:v>4487.1794871794873</c:v>
                </c:pt>
                <c:pt idx="13">
                  <c:v>4166.666666666667</c:v>
                </c:pt>
                <c:pt idx="14">
                  <c:v>3888.8888888888891</c:v>
                </c:pt>
                <c:pt idx="15">
                  <c:v>3645.8333333333335</c:v>
                </c:pt>
                <c:pt idx="16">
                  <c:v>3431.3725490196075</c:v>
                </c:pt>
                <c:pt idx="17">
                  <c:v>3240.7407407407404</c:v>
                </c:pt>
                <c:pt idx="18">
                  <c:v>3070.1754385964914</c:v>
                </c:pt>
                <c:pt idx="19">
                  <c:v>2916.6666666666665</c:v>
                </c:pt>
              </c:numCache>
            </c:numRef>
          </c:val>
          <c:smooth val="0"/>
          <c:extLst>
            <c:ext xmlns:c16="http://schemas.microsoft.com/office/drawing/2014/chart" uri="{C3380CC4-5D6E-409C-BE32-E72D297353CC}">
              <c16:uniqueId val="{00000001-857C-4B03-A6D0-0A3A970DBCBF}"/>
            </c:ext>
          </c:extLst>
        </c:ser>
        <c:ser>
          <c:idx val="2"/>
          <c:order val="2"/>
          <c:tx>
            <c:strRef>
              <c:f>'Condoms-PrEP simple'!$M$11</c:f>
              <c:strCache>
                <c:ptCount val="1"/>
                <c:pt idx="0">
                  <c:v>Long-acting injectable PrEP</c:v>
                </c:pt>
              </c:strCache>
            </c:strRef>
          </c:tx>
          <c:spPr>
            <a:ln w="28575" cap="rnd">
              <a:solidFill>
                <a:srgbClr val="CC3399"/>
              </a:solidFill>
              <a:round/>
            </a:ln>
            <a:effectLst/>
          </c:spPr>
          <c:marker>
            <c:symbol val="circle"/>
            <c:size val="5"/>
            <c:spPr>
              <a:solidFill>
                <a:srgbClr val="CC3399"/>
              </a:solidFill>
              <a:ln w="9525">
                <a:solidFill>
                  <a:srgbClr val="CC3399"/>
                </a:solidFill>
              </a:ln>
              <a:effectLst/>
            </c:spPr>
          </c:marker>
          <c:cat>
            <c:numRef>
              <c:f>'Condoms-PrEP simple'!$P$8:$AI$8</c:f>
              <c:numCache>
                <c:formatCode>General</c:formatCode>
                <c:ptCount val="20"/>
                <c:pt idx="0">
                  <c:v>0.2</c:v>
                </c:pt>
                <c:pt idx="1">
                  <c:v>0.4</c:v>
                </c:pt>
                <c:pt idx="2">
                  <c:v>0.6</c:v>
                </c:pt>
                <c:pt idx="3">
                  <c:v>0.8</c:v>
                </c:pt>
                <c:pt idx="4">
                  <c:v>1</c:v>
                </c:pt>
                <c:pt idx="5">
                  <c:v>1.2</c:v>
                </c:pt>
                <c:pt idx="6">
                  <c:v>1.4</c:v>
                </c:pt>
                <c:pt idx="7">
                  <c:v>1.6</c:v>
                </c:pt>
                <c:pt idx="8">
                  <c:v>1.8</c:v>
                </c:pt>
                <c:pt idx="9">
                  <c:v>2</c:v>
                </c:pt>
                <c:pt idx="10">
                  <c:v>2.2000000000000002</c:v>
                </c:pt>
                <c:pt idx="11">
                  <c:v>2.4</c:v>
                </c:pt>
                <c:pt idx="12">
                  <c:v>2.6</c:v>
                </c:pt>
                <c:pt idx="13">
                  <c:v>2.8</c:v>
                </c:pt>
                <c:pt idx="14">
                  <c:v>3</c:v>
                </c:pt>
                <c:pt idx="15">
                  <c:v>3.2</c:v>
                </c:pt>
                <c:pt idx="16">
                  <c:v>3.4</c:v>
                </c:pt>
                <c:pt idx="17">
                  <c:v>3.6</c:v>
                </c:pt>
                <c:pt idx="18">
                  <c:v>3.8</c:v>
                </c:pt>
                <c:pt idx="19">
                  <c:v>4</c:v>
                </c:pt>
              </c:numCache>
            </c:numRef>
          </c:cat>
          <c:val>
            <c:numRef>
              <c:f>'Condoms-PrEP simple'!$P$11:$AI$11</c:f>
              <c:numCache>
                <c:formatCode>_(* #,##0_);_(* \(#,##0\);_(* "-"??_);_(@_)</c:formatCode>
                <c:ptCount val="20"/>
                <c:pt idx="0">
                  <c:v>99999.999999999985</c:v>
                </c:pt>
                <c:pt idx="1">
                  <c:v>49999.999999999993</c:v>
                </c:pt>
                <c:pt idx="2">
                  <c:v>33333.333333333328</c:v>
                </c:pt>
                <c:pt idx="3">
                  <c:v>24999.999999999996</c:v>
                </c:pt>
                <c:pt idx="4">
                  <c:v>19999.999999999996</c:v>
                </c:pt>
                <c:pt idx="5">
                  <c:v>16666.666666666664</c:v>
                </c:pt>
                <c:pt idx="6">
                  <c:v>14285.714285714288</c:v>
                </c:pt>
                <c:pt idx="7">
                  <c:v>12499.999999999998</c:v>
                </c:pt>
                <c:pt idx="8">
                  <c:v>11111.111111111109</c:v>
                </c:pt>
                <c:pt idx="9">
                  <c:v>9999.9999999999982</c:v>
                </c:pt>
                <c:pt idx="10">
                  <c:v>9090.9090909090901</c:v>
                </c:pt>
                <c:pt idx="11">
                  <c:v>8333.3333333333321</c:v>
                </c:pt>
                <c:pt idx="12">
                  <c:v>7692.3076923076906</c:v>
                </c:pt>
                <c:pt idx="13">
                  <c:v>7142.857142857144</c:v>
                </c:pt>
                <c:pt idx="14">
                  <c:v>6666.666666666667</c:v>
                </c:pt>
                <c:pt idx="15">
                  <c:v>6249.9999999999991</c:v>
                </c:pt>
                <c:pt idx="16">
                  <c:v>5882.3529411764703</c:v>
                </c:pt>
                <c:pt idx="17">
                  <c:v>5555.5555555555547</c:v>
                </c:pt>
                <c:pt idx="18">
                  <c:v>5263.1578947368416</c:v>
                </c:pt>
                <c:pt idx="19">
                  <c:v>4999.9999999999991</c:v>
                </c:pt>
              </c:numCache>
            </c:numRef>
          </c:val>
          <c:smooth val="0"/>
          <c:extLst>
            <c:ext xmlns:c16="http://schemas.microsoft.com/office/drawing/2014/chart" uri="{C3380CC4-5D6E-409C-BE32-E72D297353CC}">
              <c16:uniqueId val="{00000002-857C-4B03-A6D0-0A3A970DBCBF}"/>
            </c:ext>
          </c:extLst>
        </c:ser>
        <c:ser>
          <c:idx val="3"/>
          <c:order val="3"/>
          <c:tx>
            <c:strRef>
              <c:f>'Condoms-PrEP simple'!$M$12</c:f>
              <c:strCache>
                <c:ptCount val="1"/>
                <c:pt idx="0">
                  <c:v>Threshold (user-defined)</c:v>
                </c:pt>
              </c:strCache>
            </c:strRef>
          </c:tx>
          <c:spPr>
            <a:ln w="28575" cap="rnd">
              <a:solidFill>
                <a:srgbClr val="00B050"/>
              </a:solidFill>
              <a:prstDash val="sysDash"/>
              <a:round/>
            </a:ln>
            <a:effectLst/>
          </c:spPr>
          <c:marker>
            <c:symbol val="none"/>
          </c:marker>
          <c:cat>
            <c:numRef>
              <c:f>'Condoms-PrEP simple'!$P$8:$AI$8</c:f>
              <c:numCache>
                <c:formatCode>General</c:formatCode>
                <c:ptCount val="20"/>
                <c:pt idx="0">
                  <c:v>0.2</c:v>
                </c:pt>
                <c:pt idx="1">
                  <c:v>0.4</c:v>
                </c:pt>
                <c:pt idx="2">
                  <c:v>0.6</c:v>
                </c:pt>
                <c:pt idx="3">
                  <c:v>0.8</c:v>
                </c:pt>
                <c:pt idx="4">
                  <c:v>1</c:v>
                </c:pt>
                <c:pt idx="5">
                  <c:v>1.2</c:v>
                </c:pt>
                <c:pt idx="6">
                  <c:v>1.4</c:v>
                </c:pt>
                <c:pt idx="7">
                  <c:v>1.6</c:v>
                </c:pt>
                <c:pt idx="8">
                  <c:v>1.8</c:v>
                </c:pt>
                <c:pt idx="9">
                  <c:v>2</c:v>
                </c:pt>
                <c:pt idx="10">
                  <c:v>2.2000000000000002</c:v>
                </c:pt>
                <c:pt idx="11">
                  <c:v>2.4</c:v>
                </c:pt>
                <c:pt idx="12">
                  <c:v>2.6</c:v>
                </c:pt>
                <c:pt idx="13">
                  <c:v>2.8</c:v>
                </c:pt>
                <c:pt idx="14">
                  <c:v>3</c:v>
                </c:pt>
                <c:pt idx="15">
                  <c:v>3.2</c:v>
                </c:pt>
                <c:pt idx="16">
                  <c:v>3.4</c:v>
                </c:pt>
                <c:pt idx="17">
                  <c:v>3.6</c:v>
                </c:pt>
                <c:pt idx="18">
                  <c:v>3.8</c:v>
                </c:pt>
                <c:pt idx="19">
                  <c:v>4</c:v>
                </c:pt>
              </c:numCache>
            </c:numRef>
          </c:cat>
          <c:val>
            <c:numRef>
              <c:f>'Condoms-PrEP simple'!$P$12:$AI$12</c:f>
              <c:numCache>
                <c:formatCode>_(* #,##0_);_(* \(#,##0\);_(* "-"??_);_(@_)</c:formatCode>
                <c:ptCount val="20"/>
                <c:pt idx="0">
                  <c:v>10000</c:v>
                </c:pt>
                <c:pt idx="1">
                  <c:v>10000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numCache>
            </c:numRef>
          </c:val>
          <c:smooth val="0"/>
          <c:extLst>
            <c:ext xmlns:c16="http://schemas.microsoft.com/office/drawing/2014/chart" uri="{C3380CC4-5D6E-409C-BE32-E72D297353CC}">
              <c16:uniqueId val="{00000004-857C-4B03-A6D0-0A3A970DBCBF}"/>
            </c:ext>
          </c:extLst>
        </c:ser>
        <c:dLbls>
          <c:showLegendKey val="0"/>
          <c:showVal val="0"/>
          <c:showCatName val="0"/>
          <c:showSerName val="0"/>
          <c:showPercent val="0"/>
          <c:showBubbleSize val="0"/>
        </c:dLbls>
        <c:marker val="1"/>
        <c:smooth val="0"/>
        <c:axId val="886614751"/>
        <c:axId val="886617151"/>
      </c:lineChart>
      <c:catAx>
        <c:axId val="886614751"/>
        <c:scaling>
          <c:orientation val="minMax"/>
        </c:scaling>
        <c:delete val="0"/>
        <c:axPos val="b"/>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a:t>HIV incidence rate per 100 person</a:t>
                </a:r>
                <a:r>
                  <a:rPr lang="en-US" baseline="0"/>
                  <a:t> years </a:t>
                </a:r>
                <a:endParaRPr lang="en-US"/>
              </a:p>
            </c:rich>
          </c:tx>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CH"/>
          </a:p>
        </c:txPr>
        <c:crossAx val="886617151"/>
        <c:crosses val="autoZero"/>
        <c:auto val="1"/>
        <c:lblAlgn val="ctr"/>
        <c:lblOffset val="100"/>
        <c:noMultiLvlLbl val="0"/>
      </c:catAx>
      <c:valAx>
        <c:axId val="88661715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a:t>Cost per HIV infection averted in USD </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CH"/>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CH"/>
          </a:p>
        </c:txPr>
        <c:crossAx val="8866147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CH"/>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600"/>
      </a:pPr>
      <a:endParaRPr lang="en-CH"/>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Cost per infection averted considering different intensity of condom and oral PrEP provision </a:t>
            </a:r>
          </a:p>
          <a:p>
            <a:pPr>
              <a:defRPr/>
            </a:pPr>
            <a:r>
              <a:rPr lang="en-US"/>
              <a:t>(based on individual frequency of sex acts and differential demand generation cost)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CH"/>
        </a:p>
      </c:txPr>
    </c:title>
    <c:autoTitleDeleted val="0"/>
    <c:plotArea>
      <c:layout/>
      <c:lineChart>
        <c:grouping val="standard"/>
        <c:varyColors val="0"/>
        <c:ser>
          <c:idx val="0"/>
          <c:order val="0"/>
          <c:tx>
            <c:strRef>
              <c:f>'Condoms-PrEP simple'!$M$49</c:f>
              <c:strCache>
                <c:ptCount val="1"/>
                <c:pt idx="0">
                  <c:v>Condoms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'Condoms-PrEP simple'!$P$48:$AE$48</c:f>
              <c:strCache>
                <c:ptCount val="16"/>
                <c:pt idx="0">
                  <c:v>USD 5 / USD 35</c:v>
                </c:pt>
                <c:pt idx="1">
                  <c:v>USD 15 / USD 45</c:v>
                </c:pt>
                <c:pt idx="2">
                  <c:v>USD 25 / USD 55</c:v>
                </c:pt>
                <c:pt idx="3">
                  <c:v>USD 35 / USD 65</c:v>
                </c:pt>
                <c:pt idx="4">
                  <c:v>USD 45 / USD 75</c:v>
                </c:pt>
                <c:pt idx="5">
                  <c:v>USD 55 / USD 85</c:v>
                </c:pt>
                <c:pt idx="6">
                  <c:v>USD 65 / USD 95</c:v>
                </c:pt>
                <c:pt idx="7">
                  <c:v>USD 75 / USD 105</c:v>
                </c:pt>
                <c:pt idx="8">
                  <c:v>USD 85 / USD 115</c:v>
                </c:pt>
                <c:pt idx="9">
                  <c:v>USD 95 / USD 125</c:v>
                </c:pt>
                <c:pt idx="10">
                  <c:v>USD 105 / USD 135</c:v>
                </c:pt>
                <c:pt idx="11">
                  <c:v>USD 115 / USD 145</c:v>
                </c:pt>
                <c:pt idx="12">
                  <c:v>USD 125 / USD 155</c:v>
                </c:pt>
                <c:pt idx="13">
                  <c:v>USD 135 / USD 165</c:v>
                </c:pt>
                <c:pt idx="14">
                  <c:v>USD 145 / USD 175</c:v>
                </c:pt>
                <c:pt idx="15">
                  <c:v>USD 155 / USD 185</c:v>
                </c:pt>
              </c:strCache>
            </c:strRef>
          </c:cat>
          <c:val>
            <c:numRef>
              <c:f>'Condoms-PrEP simple'!$P$49:$AE$49</c:f>
              <c:numCache>
                <c:formatCode>_(* #,##0_);_(* \(#,##0\);_(* "-"??_);_(@_)</c:formatCode>
                <c:ptCount val="16"/>
                <c:pt idx="0">
                  <c:v>1250</c:v>
                </c:pt>
                <c:pt idx="1">
                  <c:v>3750</c:v>
                </c:pt>
                <c:pt idx="2">
                  <c:v>6250</c:v>
                </c:pt>
                <c:pt idx="3">
                  <c:v>8750</c:v>
                </c:pt>
                <c:pt idx="4">
                  <c:v>11250</c:v>
                </c:pt>
                <c:pt idx="5">
                  <c:v>13750</c:v>
                </c:pt>
                <c:pt idx="6">
                  <c:v>16250</c:v>
                </c:pt>
                <c:pt idx="7">
                  <c:v>18750</c:v>
                </c:pt>
                <c:pt idx="8">
                  <c:v>21250</c:v>
                </c:pt>
                <c:pt idx="9">
                  <c:v>23750</c:v>
                </c:pt>
                <c:pt idx="10">
                  <c:v>26250</c:v>
                </c:pt>
                <c:pt idx="11">
                  <c:v>28750</c:v>
                </c:pt>
                <c:pt idx="12">
                  <c:v>31250</c:v>
                </c:pt>
                <c:pt idx="13">
                  <c:v>33750</c:v>
                </c:pt>
                <c:pt idx="14">
                  <c:v>36250</c:v>
                </c:pt>
                <c:pt idx="15">
                  <c:v>38750</c:v>
                </c:pt>
              </c:numCache>
            </c:numRef>
          </c:val>
          <c:smooth val="0"/>
          <c:extLst>
            <c:ext xmlns:c16="http://schemas.microsoft.com/office/drawing/2014/chart" uri="{C3380CC4-5D6E-409C-BE32-E72D297353CC}">
              <c16:uniqueId val="{00000000-972A-41A4-A388-F9B69713E799}"/>
            </c:ext>
          </c:extLst>
        </c:ser>
        <c:ser>
          <c:idx val="1"/>
          <c:order val="1"/>
          <c:tx>
            <c:strRef>
              <c:f>'Condoms-PrEP simple'!$M$50</c:f>
              <c:strCache>
                <c:ptCount val="1"/>
                <c:pt idx="0">
                  <c:v>Oral-PrEP</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'Condoms-PrEP simple'!$P$48:$AE$48</c:f>
              <c:strCache>
                <c:ptCount val="16"/>
                <c:pt idx="0">
                  <c:v>USD 5 / USD 35</c:v>
                </c:pt>
                <c:pt idx="1">
                  <c:v>USD 15 / USD 45</c:v>
                </c:pt>
                <c:pt idx="2">
                  <c:v>USD 25 / USD 55</c:v>
                </c:pt>
                <c:pt idx="3">
                  <c:v>USD 35 / USD 65</c:v>
                </c:pt>
                <c:pt idx="4">
                  <c:v>USD 45 / USD 75</c:v>
                </c:pt>
                <c:pt idx="5">
                  <c:v>USD 55 / USD 85</c:v>
                </c:pt>
                <c:pt idx="6">
                  <c:v>USD 65 / USD 95</c:v>
                </c:pt>
                <c:pt idx="7">
                  <c:v>USD 75 / USD 105</c:v>
                </c:pt>
                <c:pt idx="8">
                  <c:v>USD 85 / USD 115</c:v>
                </c:pt>
                <c:pt idx="9">
                  <c:v>USD 95 / USD 125</c:v>
                </c:pt>
                <c:pt idx="10">
                  <c:v>USD 105 / USD 135</c:v>
                </c:pt>
                <c:pt idx="11">
                  <c:v>USD 115 / USD 145</c:v>
                </c:pt>
                <c:pt idx="12">
                  <c:v>USD 125 / USD 155</c:v>
                </c:pt>
                <c:pt idx="13">
                  <c:v>USD 135 / USD 165</c:v>
                </c:pt>
                <c:pt idx="14">
                  <c:v>USD 145 / USD 175</c:v>
                </c:pt>
                <c:pt idx="15">
                  <c:v>USD 155 / USD 185</c:v>
                </c:pt>
              </c:strCache>
            </c:strRef>
          </c:cat>
          <c:val>
            <c:numRef>
              <c:f>'Condoms-PrEP simple'!$P$50:$AE$50</c:f>
              <c:numCache>
                <c:formatCode>_(* #,##0_);_(* \(#,##0\);_(* "-"??_);_(@_)</c:formatCode>
                <c:ptCount val="16"/>
                <c:pt idx="0">
                  <c:v>5833.3333333333339</c:v>
                </c:pt>
                <c:pt idx="1">
                  <c:v>7500.0000000000009</c:v>
                </c:pt>
                <c:pt idx="2">
                  <c:v>9166.6666666666679</c:v>
                </c:pt>
                <c:pt idx="3">
                  <c:v>10833.333333333334</c:v>
                </c:pt>
                <c:pt idx="4">
                  <c:v>12500.000000000002</c:v>
                </c:pt>
                <c:pt idx="5">
                  <c:v>14166.666666666668</c:v>
                </c:pt>
                <c:pt idx="6">
                  <c:v>15833.333333333336</c:v>
                </c:pt>
                <c:pt idx="7">
                  <c:v>17500.000000000004</c:v>
                </c:pt>
                <c:pt idx="8">
                  <c:v>19166.666666666668</c:v>
                </c:pt>
                <c:pt idx="9">
                  <c:v>20833.333333333336</c:v>
                </c:pt>
                <c:pt idx="10">
                  <c:v>22500.000000000004</c:v>
                </c:pt>
                <c:pt idx="11">
                  <c:v>24166.666666666668</c:v>
                </c:pt>
                <c:pt idx="12">
                  <c:v>25833.333333333336</c:v>
                </c:pt>
                <c:pt idx="13">
                  <c:v>27500.000000000004</c:v>
                </c:pt>
                <c:pt idx="14">
                  <c:v>29166.666666666672</c:v>
                </c:pt>
                <c:pt idx="15">
                  <c:v>30833.333333333336</c:v>
                </c:pt>
              </c:numCache>
            </c:numRef>
          </c:val>
          <c:smooth val="0"/>
          <c:extLst>
            <c:ext xmlns:c16="http://schemas.microsoft.com/office/drawing/2014/chart" uri="{C3380CC4-5D6E-409C-BE32-E72D297353CC}">
              <c16:uniqueId val="{00000001-972A-41A4-A388-F9B69713E799}"/>
            </c:ext>
          </c:extLst>
        </c:ser>
        <c:ser>
          <c:idx val="2"/>
          <c:order val="2"/>
          <c:tx>
            <c:strRef>
              <c:f>'Condoms-PrEP simple'!$M$51</c:f>
              <c:strCache>
                <c:ptCount val="1"/>
                <c:pt idx="0">
                  <c:v>LA-Prep</c:v>
                </c:pt>
              </c:strCache>
            </c:strRef>
          </c:tx>
          <c:spPr>
            <a:ln w="28575" cap="rnd">
              <a:solidFill>
                <a:srgbClr val="CC3399"/>
              </a:solidFill>
              <a:round/>
            </a:ln>
            <a:effectLst/>
          </c:spPr>
          <c:marker>
            <c:symbol val="circle"/>
            <c:size val="5"/>
            <c:spPr>
              <a:solidFill>
                <a:srgbClr val="CC3399"/>
              </a:solidFill>
              <a:ln w="9525">
                <a:solidFill>
                  <a:srgbClr val="CC3399"/>
                </a:solidFill>
              </a:ln>
              <a:effectLst/>
            </c:spPr>
          </c:marker>
          <c:cat>
            <c:strRef>
              <c:f>'Condoms-PrEP simple'!$P$48:$AE$48</c:f>
              <c:strCache>
                <c:ptCount val="16"/>
                <c:pt idx="0">
                  <c:v>USD 5 / USD 35</c:v>
                </c:pt>
                <c:pt idx="1">
                  <c:v>USD 15 / USD 45</c:v>
                </c:pt>
                <c:pt idx="2">
                  <c:v>USD 25 / USD 55</c:v>
                </c:pt>
                <c:pt idx="3">
                  <c:v>USD 35 / USD 65</c:v>
                </c:pt>
                <c:pt idx="4">
                  <c:v>USD 45 / USD 75</c:v>
                </c:pt>
                <c:pt idx="5">
                  <c:v>USD 55 / USD 85</c:v>
                </c:pt>
                <c:pt idx="6">
                  <c:v>USD 65 / USD 95</c:v>
                </c:pt>
                <c:pt idx="7">
                  <c:v>USD 75 / USD 105</c:v>
                </c:pt>
                <c:pt idx="8">
                  <c:v>USD 85 / USD 115</c:v>
                </c:pt>
                <c:pt idx="9">
                  <c:v>USD 95 / USD 125</c:v>
                </c:pt>
                <c:pt idx="10">
                  <c:v>USD 105 / USD 135</c:v>
                </c:pt>
                <c:pt idx="11">
                  <c:v>USD 115 / USD 145</c:v>
                </c:pt>
                <c:pt idx="12">
                  <c:v>USD 125 / USD 155</c:v>
                </c:pt>
                <c:pt idx="13">
                  <c:v>USD 135 / USD 165</c:v>
                </c:pt>
                <c:pt idx="14">
                  <c:v>USD 145 / USD 175</c:v>
                </c:pt>
                <c:pt idx="15">
                  <c:v>USD 155 / USD 185</c:v>
                </c:pt>
              </c:strCache>
            </c:strRef>
          </c:cat>
          <c:val>
            <c:numRef>
              <c:f>'Condoms-PrEP simple'!$P$51:$AE$51</c:f>
              <c:numCache>
                <c:formatCode>_(* #,##0_);_(* \(#,##0\);_(* "-"??_);_(@_)</c:formatCode>
                <c:ptCount val="16"/>
                <c:pt idx="0">
                  <c:v>10000</c:v>
                </c:pt>
                <c:pt idx="1">
                  <c:v>11111.111111111111</c:v>
                </c:pt>
                <c:pt idx="2">
                  <c:v>12222.222222222223</c:v>
                </c:pt>
                <c:pt idx="3">
                  <c:v>13333.333333333334</c:v>
                </c:pt>
                <c:pt idx="4">
                  <c:v>14444.444444444445</c:v>
                </c:pt>
                <c:pt idx="5">
                  <c:v>15555.555555555557</c:v>
                </c:pt>
                <c:pt idx="6">
                  <c:v>16666.666666666668</c:v>
                </c:pt>
                <c:pt idx="7">
                  <c:v>17777.777777777777</c:v>
                </c:pt>
                <c:pt idx="8">
                  <c:v>18888.888888888891</c:v>
                </c:pt>
                <c:pt idx="9">
                  <c:v>20000</c:v>
                </c:pt>
                <c:pt idx="10">
                  <c:v>21111.111111111113</c:v>
                </c:pt>
                <c:pt idx="11">
                  <c:v>22222.222222222223</c:v>
                </c:pt>
                <c:pt idx="12">
                  <c:v>23333.333333333336</c:v>
                </c:pt>
                <c:pt idx="13">
                  <c:v>24444.444444444445</c:v>
                </c:pt>
                <c:pt idx="14">
                  <c:v>25555.555555555555</c:v>
                </c:pt>
                <c:pt idx="15">
                  <c:v>26666.666666666668</c:v>
                </c:pt>
              </c:numCache>
            </c:numRef>
          </c:val>
          <c:smooth val="0"/>
          <c:extLst>
            <c:ext xmlns:c16="http://schemas.microsoft.com/office/drawing/2014/chart" uri="{C3380CC4-5D6E-409C-BE32-E72D297353CC}">
              <c16:uniqueId val="{00000002-972A-41A4-A388-F9B69713E799}"/>
            </c:ext>
          </c:extLst>
        </c:ser>
        <c:dLbls>
          <c:showLegendKey val="0"/>
          <c:showVal val="0"/>
          <c:showCatName val="0"/>
          <c:showSerName val="0"/>
          <c:showPercent val="0"/>
          <c:showBubbleSize val="0"/>
        </c:dLbls>
        <c:marker val="1"/>
        <c:smooth val="0"/>
        <c:axId val="1650055711"/>
        <c:axId val="1650060511"/>
      </c:lineChart>
      <c:catAx>
        <c:axId val="1650055711"/>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US" sz="1100" b="1"/>
                  <a:t>Annual cost per person year (condoms/ oral PrEP)</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CH"/>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CH"/>
          </a:p>
        </c:txPr>
        <c:crossAx val="1650060511"/>
        <c:crosses val="autoZero"/>
        <c:auto val="1"/>
        <c:lblAlgn val="ctr"/>
        <c:lblOffset val="100"/>
        <c:noMultiLvlLbl val="0"/>
      </c:catAx>
      <c:valAx>
        <c:axId val="1650060511"/>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CH"/>
          </a:p>
        </c:txPr>
        <c:crossAx val="16500557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CH"/>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CH"/>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761999</xdr:colOff>
      <xdr:row>13</xdr:row>
      <xdr:rowOff>9525</xdr:rowOff>
    </xdr:from>
    <xdr:to>
      <xdr:col>29</xdr:col>
      <xdr:colOff>19049</xdr:colOff>
      <xdr:row>38</xdr:row>
      <xdr:rowOff>76200</xdr:rowOff>
    </xdr:to>
    <xdr:graphicFrame macro="">
      <xdr:nvGraphicFramePr>
        <xdr:cNvPr id="2" name="Chart 1">
          <a:extLst>
            <a:ext uri="{FF2B5EF4-FFF2-40B4-BE49-F238E27FC236}">
              <a16:creationId xmlns:a16="http://schemas.microsoft.com/office/drawing/2014/main" id="{C7D97F29-3712-B117-2A81-97EC1239A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15874</xdr:colOff>
      <xdr:row>52</xdr:row>
      <xdr:rowOff>22224</xdr:rowOff>
    </xdr:from>
    <xdr:to>
      <xdr:col>29</xdr:col>
      <xdr:colOff>533400</xdr:colOff>
      <xdr:row>85</xdr:row>
      <xdr:rowOff>31749</xdr:rowOff>
    </xdr:to>
    <xdr:graphicFrame macro="">
      <xdr:nvGraphicFramePr>
        <xdr:cNvPr id="3" name="Chart 2">
          <a:extLst>
            <a:ext uri="{FF2B5EF4-FFF2-40B4-BE49-F238E27FC236}">
              <a16:creationId xmlns:a16="http://schemas.microsoft.com/office/drawing/2014/main" id="{8C17A349-F36B-703F-177D-69C60B65D2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pubmed.ncbi.nlm.nih.gov/38180737/" TargetMode="External"/><Relationship Id="rId1" Type="http://schemas.openxmlformats.org/officeDocument/2006/relationships/hyperlink" Target="https://hivpreventioncoalition.unaids.org/en/resources/sub-national-hiv-estimates-priority-populations-too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3954B-1639-432B-91AE-D03639EFD8FE}">
  <dimension ref="B1:T41"/>
  <sheetViews>
    <sheetView tabSelected="1" workbookViewId="0">
      <selection activeCell="R8" sqref="R8"/>
    </sheetView>
  </sheetViews>
  <sheetFormatPr defaultRowHeight="15" x14ac:dyDescent="0.25"/>
  <cols>
    <col min="1" max="1" width="3.28515625" customWidth="1"/>
    <col min="2" max="2" width="11.28515625" customWidth="1"/>
    <col min="3" max="3" width="20.85546875" customWidth="1"/>
    <col min="4" max="4" width="23.42578125" customWidth="1"/>
    <col min="5" max="5" width="8.7109375" customWidth="1"/>
    <col min="6" max="6" width="9.140625" customWidth="1"/>
    <col min="7" max="7" width="7" customWidth="1"/>
    <col min="8" max="8" width="10.7109375" customWidth="1"/>
    <col min="9" max="9" width="10.5703125" customWidth="1"/>
    <col min="10" max="10" width="11" customWidth="1"/>
    <col min="11" max="11" width="8.85546875" customWidth="1"/>
    <col min="12" max="12" width="12" customWidth="1"/>
    <col min="13" max="14" width="11.5703125" customWidth="1"/>
    <col min="15" max="15" width="7.5703125" customWidth="1"/>
    <col min="16" max="16" width="10.42578125" customWidth="1"/>
    <col min="17" max="18" width="11.5703125" customWidth="1"/>
    <col min="20" max="20" width="0" hidden="1" customWidth="1"/>
  </cols>
  <sheetData>
    <row r="1" spans="2:20" ht="18.75" x14ac:dyDescent="0.3">
      <c r="B1" s="26" t="s">
        <v>70</v>
      </c>
      <c r="J1" s="33" t="s">
        <v>48</v>
      </c>
    </row>
    <row r="2" spans="2:20" ht="6.75" customHeight="1" x14ac:dyDescent="0.25"/>
    <row r="3" spans="2:20" x14ac:dyDescent="0.25">
      <c r="B3" s="32" t="s">
        <v>62</v>
      </c>
    </row>
    <row r="4" spans="2:20" x14ac:dyDescent="0.25">
      <c r="B4" s="47" t="s">
        <v>38</v>
      </c>
      <c r="C4" s="48"/>
      <c r="D4" s="49"/>
      <c r="E4" s="47" t="s">
        <v>36</v>
      </c>
      <c r="F4" s="48"/>
      <c r="G4" s="48"/>
      <c r="H4" s="49"/>
      <c r="I4" s="47" t="s">
        <v>34</v>
      </c>
      <c r="J4" s="48"/>
      <c r="K4" s="49"/>
      <c r="L4" s="47" t="s">
        <v>41</v>
      </c>
      <c r="M4" s="48"/>
      <c r="N4" s="49"/>
      <c r="O4" s="47" t="s">
        <v>45</v>
      </c>
      <c r="P4" s="49"/>
    </row>
    <row r="5" spans="2:20" ht="63.75" x14ac:dyDescent="0.25">
      <c r="B5" s="14" t="s">
        <v>69</v>
      </c>
      <c r="C5" s="15" t="s">
        <v>4</v>
      </c>
      <c r="D5" s="15" t="s">
        <v>72</v>
      </c>
      <c r="E5" s="15" t="s">
        <v>25</v>
      </c>
      <c r="F5" s="15" t="s">
        <v>15</v>
      </c>
      <c r="G5" s="15" t="s">
        <v>11</v>
      </c>
      <c r="H5" s="22" t="s">
        <v>37</v>
      </c>
      <c r="I5" s="15" t="s">
        <v>33</v>
      </c>
      <c r="J5" s="15" t="s">
        <v>35</v>
      </c>
      <c r="K5" s="15" t="s">
        <v>13</v>
      </c>
      <c r="L5" s="22" t="s">
        <v>40</v>
      </c>
      <c r="M5" s="22" t="s">
        <v>42</v>
      </c>
      <c r="N5" s="22" t="s">
        <v>39</v>
      </c>
      <c r="O5" s="15" t="s">
        <v>65</v>
      </c>
      <c r="P5" s="15" t="s">
        <v>64</v>
      </c>
      <c r="T5" t="s">
        <v>32</v>
      </c>
    </row>
    <row r="6" spans="2:20" ht="25.5" customHeight="1" x14ac:dyDescent="0.25">
      <c r="B6" s="16" t="s">
        <v>67</v>
      </c>
      <c r="C6" s="17" t="s">
        <v>46</v>
      </c>
      <c r="D6" s="17" t="s">
        <v>29</v>
      </c>
      <c r="E6" s="18">
        <v>0.3</v>
      </c>
      <c r="F6" s="18">
        <v>10</v>
      </c>
      <c r="G6" s="19">
        <v>0.3</v>
      </c>
      <c r="H6" s="25">
        <v>1700000</v>
      </c>
      <c r="I6" s="23">
        <f>1000000/F6</f>
        <v>100000</v>
      </c>
      <c r="J6" s="24">
        <f>I6*E6/100</f>
        <v>300</v>
      </c>
      <c r="K6" s="24">
        <f>J6*G6</f>
        <v>90</v>
      </c>
      <c r="L6" s="24">
        <f>H6*F6</f>
        <v>17000000</v>
      </c>
      <c r="M6" s="24">
        <f>H6*E6/100</f>
        <v>5100</v>
      </c>
      <c r="N6" s="24">
        <f>M6*G6</f>
        <v>1530</v>
      </c>
      <c r="O6" s="20">
        <f>K6/MAX(K$6:K$21)*10</f>
        <v>4.2857142857142856</v>
      </c>
      <c r="P6" s="24">
        <f>1000000/K6</f>
        <v>11111.111111111111</v>
      </c>
      <c r="T6" t="str">
        <f>B6&amp;": "&amp;D6&amp;"; "&amp;C6&amp;"; HIV incidence (%): "&amp;E6&amp;"; USD/person/year: "&amp;F6&amp;"; Effect: "&amp;G6*100&amp;"%;"</f>
        <v>Districts (Type A): Condoms+ demand generation; Women &amp; men with non-reg partners, 15-49; HIV incidence (%): 0.3; USD/person/year: 10; Effect: 30%;</v>
      </c>
    </row>
    <row r="7" spans="2:20" ht="25.5" customHeight="1" x14ac:dyDescent="0.25">
      <c r="B7" s="16" t="s">
        <v>68</v>
      </c>
      <c r="C7" s="17" t="s">
        <v>46</v>
      </c>
      <c r="D7" s="17" t="s">
        <v>29</v>
      </c>
      <c r="E7" s="18">
        <v>0.7</v>
      </c>
      <c r="F7" s="18">
        <v>10</v>
      </c>
      <c r="G7" s="19">
        <v>0.3</v>
      </c>
      <c r="H7" s="25">
        <v>600000</v>
      </c>
      <c r="I7" s="23">
        <f t="shared" ref="I7:I21" si="0">1000000/F7</f>
        <v>100000</v>
      </c>
      <c r="J7" s="24">
        <f t="shared" ref="J7:J21" si="1">I7*E7/100</f>
        <v>700</v>
      </c>
      <c r="K7" s="24">
        <f t="shared" ref="K7:K21" si="2">J7*G7</f>
        <v>210</v>
      </c>
      <c r="L7" s="24">
        <f t="shared" ref="L7:L21" si="3">H7*F7</f>
        <v>6000000</v>
      </c>
      <c r="M7" s="24">
        <f t="shared" ref="M7:M21" si="4">H7*E7/100</f>
        <v>4200</v>
      </c>
      <c r="N7" s="24">
        <f t="shared" ref="N7:N21" si="5">M7*G7</f>
        <v>1260</v>
      </c>
      <c r="O7" s="20">
        <f t="shared" ref="O7:O21" si="6">K7/MAX(K$6:K$21)*10</f>
        <v>10</v>
      </c>
      <c r="P7" s="24">
        <f t="shared" ref="P7:P21" si="7">1000000/K7</f>
        <v>4761.9047619047615</v>
      </c>
      <c r="T7" t="str">
        <f>B7&amp;": "&amp;D7&amp;"; "&amp;C7&amp;"; HIV incidence (%): "&amp;E7&amp;"; USD/person/year: "&amp;F7&amp;"; Effect: "&amp;G7*100&amp;"%;"</f>
        <v>Districts (Type B): Condoms+ demand generation; Women &amp; men with non-reg partners, 15-49; HIV incidence (%): 0.7; USD/person/year: 10; Effect: 30%;</v>
      </c>
    </row>
    <row r="8" spans="2:20" ht="25.5" customHeight="1" x14ac:dyDescent="0.25">
      <c r="B8" s="16" t="s">
        <v>67</v>
      </c>
      <c r="C8" s="17" t="s">
        <v>53</v>
      </c>
      <c r="D8" s="17" t="s">
        <v>30</v>
      </c>
      <c r="E8" s="18">
        <v>0.4</v>
      </c>
      <c r="F8" s="18">
        <v>120</v>
      </c>
      <c r="G8" s="19">
        <v>0.25</v>
      </c>
      <c r="H8" s="25">
        <v>950000</v>
      </c>
      <c r="I8" s="23">
        <f t="shared" si="0"/>
        <v>8333.3333333333339</v>
      </c>
      <c r="J8" s="24">
        <f t="shared" si="1"/>
        <v>33.333333333333343</v>
      </c>
      <c r="K8" s="24">
        <f t="shared" si="2"/>
        <v>8.3333333333333357</v>
      </c>
      <c r="L8" s="24">
        <f t="shared" si="3"/>
        <v>114000000</v>
      </c>
      <c r="M8" s="24">
        <f t="shared" si="4"/>
        <v>3800</v>
      </c>
      <c r="N8" s="24">
        <f t="shared" si="5"/>
        <v>950</v>
      </c>
      <c r="O8" s="20">
        <f t="shared" si="6"/>
        <v>0.39682539682539697</v>
      </c>
      <c r="P8" s="24">
        <f t="shared" si="7"/>
        <v>119999.99999999997</v>
      </c>
      <c r="T8" t="str">
        <f>B8&amp;": "&amp;D8&amp;"; "&amp;C8&amp;"; HIV incidence (%): "&amp;E8&amp;"; USD/person/year: "&amp;F8&amp;"; Effect: "&amp;G8*100&amp;"%;"</f>
        <v>Districts (Type A): Outreach, BCC, structural support; AGYW 15-24; HIV incidence (%): 0.4; USD/person/year: 120; Effect: 25%;</v>
      </c>
    </row>
    <row r="9" spans="2:20" ht="25.5" customHeight="1" x14ac:dyDescent="0.25">
      <c r="B9" s="16" t="s">
        <v>68</v>
      </c>
      <c r="C9" s="17" t="s">
        <v>53</v>
      </c>
      <c r="D9" s="17" t="s">
        <v>43</v>
      </c>
      <c r="E9" s="18">
        <v>0.9</v>
      </c>
      <c r="F9" s="18">
        <v>120</v>
      </c>
      <c r="G9" s="19">
        <v>0.25</v>
      </c>
      <c r="H9" s="25">
        <v>350000</v>
      </c>
      <c r="I9" s="23">
        <f t="shared" si="0"/>
        <v>8333.3333333333339</v>
      </c>
      <c r="J9" s="24">
        <f t="shared" si="1"/>
        <v>75.000000000000014</v>
      </c>
      <c r="K9" s="24">
        <f t="shared" si="2"/>
        <v>18.750000000000004</v>
      </c>
      <c r="L9" s="24">
        <f t="shared" si="3"/>
        <v>42000000</v>
      </c>
      <c r="M9" s="24">
        <f t="shared" si="4"/>
        <v>3150</v>
      </c>
      <c r="N9" s="24">
        <f t="shared" si="5"/>
        <v>787.5</v>
      </c>
      <c r="O9" s="20">
        <f t="shared" si="6"/>
        <v>0.89285714285714302</v>
      </c>
      <c r="P9" s="24">
        <f t="shared" si="7"/>
        <v>53333.333333333321</v>
      </c>
      <c r="T9" t="str">
        <f>B9&amp;": "&amp;D9&amp;"; "&amp;C9&amp;"; HIV incidence (%): "&amp;E9&amp;"; USD/person/year: "&amp;F9&amp;"; Effect: "&amp;G9*100&amp;"%;"</f>
        <v>Districts (Type B): Outreach, BCC, structural support, ; AGYW 15-24; HIV incidence (%): 0.9; USD/person/year: 120; Effect: 25%;</v>
      </c>
    </row>
    <row r="10" spans="2:20" ht="25.5" customHeight="1" x14ac:dyDescent="0.25">
      <c r="B10" s="16" t="s">
        <v>67</v>
      </c>
      <c r="C10" s="17" t="s">
        <v>47</v>
      </c>
      <c r="D10" s="17" t="s">
        <v>22</v>
      </c>
      <c r="E10" s="18">
        <v>0.8</v>
      </c>
      <c r="F10" s="18">
        <v>90</v>
      </c>
      <c r="G10" s="19">
        <v>0.6</v>
      </c>
      <c r="H10" s="25">
        <v>250000</v>
      </c>
      <c r="I10" s="23">
        <f t="shared" si="0"/>
        <v>11111.111111111111</v>
      </c>
      <c r="J10" s="24">
        <f t="shared" si="1"/>
        <v>88.888888888888886</v>
      </c>
      <c r="K10" s="24">
        <f t="shared" si="2"/>
        <v>53.333333333333329</v>
      </c>
      <c r="L10" s="24">
        <f t="shared" si="3"/>
        <v>22500000</v>
      </c>
      <c r="M10" s="24">
        <f t="shared" si="4"/>
        <v>2000</v>
      </c>
      <c r="N10" s="24">
        <f t="shared" si="5"/>
        <v>1200</v>
      </c>
      <c r="O10" s="20">
        <f t="shared" si="6"/>
        <v>2.5396825396825395</v>
      </c>
      <c r="P10" s="24">
        <f t="shared" si="7"/>
        <v>18750</v>
      </c>
      <c r="T10" t="str">
        <f>B10&amp;": "&amp;D10&amp;"; "&amp;C10&amp;"; HIV incidence (%): "&amp;E10&amp;"; USD/person/year: "&amp;F10&amp;"; Effect: "&amp;G10*100&amp;"%;"</f>
        <v>Districts (Type A): HTS, PrEP, condoms+; Women &amp; men at high risk via STI services; HIV incidence (%): 0.8; USD/person/year: 90; Effect: 60%;</v>
      </c>
    </row>
    <row r="11" spans="2:20" ht="25.5" customHeight="1" x14ac:dyDescent="0.25">
      <c r="B11" s="16" t="s">
        <v>68</v>
      </c>
      <c r="C11" s="17" t="s">
        <v>47</v>
      </c>
      <c r="D11" s="17" t="s">
        <v>22</v>
      </c>
      <c r="E11" s="18">
        <v>2</v>
      </c>
      <c r="F11" s="18">
        <v>90</v>
      </c>
      <c r="G11" s="19">
        <v>0.6</v>
      </c>
      <c r="H11" s="25">
        <v>120000</v>
      </c>
      <c r="I11" s="23">
        <f t="shared" si="0"/>
        <v>11111.111111111111</v>
      </c>
      <c r="J11" s="24">
        <f t="shared" si="1"/>
        <v>222.22222222222223</v>
      </c>
      <c r="K11" s="24">
        <f t="shared" si="2"/>
        <v>133.33333333333334</v>
      </c>
      <c r="L11" s="24">
        <f t="shared" si="3"/>
        <v>10800000</v>
      </c>
      <c r="M11" s="24">
        <f t="shared" si="4"/>
        <v>2400</v>
      </c>
      <c r="N11" s="24">
        <f t="shared" si="5"/>
        <v>1440</v>
      </c>
      <c r="O11" s="20">
        <f t="shared" si="6"/>
        <v>6.3492063492063497</v>
      </c>
      <c r="P11" s="24">
        <f t="shared" si="7"/>
        <v>7499.9999999999991</v>
      </c>
    </row>
    <row r="12" spans="2:20" ht="25.5" customHeight="1" x14ac:dyDescent="0.25">
      <c r="B12" s="16" t="s">
        <v>67</v>
      </c>
      <c r="C12" s="17" t="s">
        <v>28</v>
      </c>
      <c r="D12" s="17" t="s">
        <v>24</v>
      </c>
      <c r="E12" s="18">
        <v>0.15</v>
      </c>
      <c r="F12" s="18">
        <v>150</v>
      </c>
      <c r="G12" s="19">
        <v>0.25</v>
      </c>
      <c r="H12" s="25">
        <v>800000</v>
      </c>
      <c r="I12" s="23">
        <f t="shared" si="0"/>
        <v>6666.666666666667</v>
      </c>
      <c r="J12" s="24">
        <f t="shared" si="1"/>
        <v>10</v>
      </c>
      <c r="K12" s="24">
        <f t="shared" si="2"/>
        <v>2.5</v>
      </c>
      <c r="L12" s="24">
        <f t="shared" si="3"/>
        <v>120000000</v>
      </c>
      <c r="M12" s="24">
        <f t="shared" si="4"/>
        <v>1200</v>
      </c>
      <c r="N12" s="24">
        <f t="shared" si="5"/>
        <v>300</v>
      </c>
      <c r="O12" s="20">
        <f t="shared" si="6"/>
        <v>0.11904761904761904</v>
      </c>
      <c r="P12" s="24">
        <f t="shared" si="7"/>
        <v>400000</v>
      </c>
      <c r="T12" t="str">
        <f>B12&amp;": "&amp;D12&amp;"; "&amp;C12&amp;"; HIV incidence (%): "&amp;E12&amp;"; USD/person/year: "&amp;F12&amp;"; Effect: "&amp;G12*100&amp;"%;"</f>
        <v>Districts (Type A): Cash transfers+; All AGYW, 15-19; HIV incidence (%): 0.15; USD/person/year: 150; Effect: 25%;</v>
      </c>
    </row>
    <row r="13" spans="2:20" ht="25.5" customHeight="1" x14ac:dyDescent="0.25">
      <c r="B13" s="16" t="s">
        <v>68</v>
      </c>
      <c r="C13" s="17" t="s">
        <v>28</v>
      </c>
      <c r="D13" s="17" t="s">
        <v>24</v>
      </c>
      <c r="E13" s="18">
        <v>0.4</v>
      </c>
      <c r="F13" s="18">
        <v>150</v>
      </c>
      <c r="G13" s="19">
        <v>0.25</v>
      </c>
      <c r="H13" s="25">
        <v>300000</v>
      </c>
      <c r="I13" s="23">
        <f t="shared" si="0"/>
        <v>6666.666666666667</v>
      </c>
      <c r="J13" s="24">
        <f t="shared" si="1"/>
        <v>26.666666666666671</v>
      </c>
      <c r="K13" s="24">
        <f t="shared" si="2"/>
        <v>6.6666666666666679</v>
      </c>
      <c r="L13" s="24">
        <f t="shared" si="3"/>
        <v>45000000</v>
      </c>
      <c r="M13" s="24">
        <f t="shared" si="4"/>
        <v>1200</v>
      </c>
      <c r="N13" s="24">
        <f t="shared" si="5"/>
        <v>300</v>
      </c>
      <c r="O13" s="20">
        <f t="shared" si="6"/>
        <v>0.3174603174603175</v>
      </c>
      <c r="P13" s="24">
        <f t="shared" si="7"/>
        <v>149999.99999999997</v>
      </c>
    </row>
    <row r="14" spans="2:20" ht="25.5" customHeight="1" x14ac:dyDescent="0.25">
      <c r="B14" s="16" t="s">
        <v>44</v>
      </c>
      <c r="C14" s="17" t="s">
        <v>54</v>
      </c>
      <c r="D14" s="17" t="s">
        <v>50</v>
      </c>
      <c r="E14" s="18">
        <v>0.25</v>
      </c>
      <c r="F14" s="18">
        <f>200/20</f>
        <v>10</v>
      </c>
      <c r="G14" s="19">
        <v>0.6</v>
      </c>
      <c r="H14" s="25">
        <v>300000</v>
      </c>
      <c r="I14" s="23">
        <f t="shared" si="0"/>
        <v>100000</v>
      </c>
      <c r="J14" s="24">
        <f t="shared" si="1"/>
        <v>250</v>
      </c>
      <c r="K14" s="24">
        <f t="shared" si="2"/>
        <v>150</v>
      </c>
      <c r="L14" s="24">
        <f t="shared" si="3"/>
        <v>3000000</v>
      </c>
      <c r="M14" s="24">
        <f t="shared" si="4"/>
        <v>750</v>
      </c>
      <c r="N14" s="24">
        <f t="shared" si="5"/>
        <v>450</v>
      </c>
      <c r="O14" s="20">
        <f t="shared" si="6"/>
        <v>7.1428571428571432</v>
      </c>
      <c r="P14" s="24">
        <f t="shared" si="7"/>
        <v>6666.666666666667</v>
      </c>
    </row>
    <row r="15" spans="2:20" ht="27" customHeight="1" x14ac:dyDescent="0.25">
      <c r="B15" s="21" t="s">
        <v>44</v>
      </c>
      <c r="C15" s="17" t="s">
        <v>31</v>
      </c>
      <c r="D15" s="17" t="s">
        <v>49</v>
      </c>
      <c r="E15" s="18">
        <v>0.3</v>
      </c>
      <c r="F15" s="18">
        <v>1</v>
      </c>
      <c r="G15" s="19">
        <v>0.03</v>
      </c>
      <c r="H15" s="25">
        <v>3500000</v>
      </c>
      <c r="I15" s="23">
        <f t="shared" si="0"/>
        <v>1000000</v>
      </c>
      <c r="J15" s="24">
        <f t="shared" si="1"/>
        <v>3000</v>
      </c>
      <c r="K15" s="24">
        <f t="shared" si="2"/>
        <v>90</v>
      </c>
      <c r="L15" s="24">
        <f t="shared" si="3"/>
        <v>3500000</v>
      </c>
      <c r="M15" s="24">
        <f t="shared" si="4"/>
        <v>10500</v>
      </c>
      <c r="N15" s="24">
        <f t="shared" si="5"/>
        <v>315</v>
      </c>
      <c r="O15" s="20">
        <f t="shared" si="6"/>
        <v>4.2857142857142856</v>
      </c>
      <c r="P15" s="24">
        <f t="shared" si="7"/>
        <v>11111.111111111111</v>
      </c>
      <c r="T15" t="str">
        <f t="shared" ref="T15:T21" si="8">B15&amp;": "&amp;D15&amp;"; "&amp;C15&amp;"; HIV incidence (%): "&amp;E15&amp;"; USD/person/year: "&amp;F15&amp;"; Effect: "&amp;G15*100&amp;"%;"</f>
        <v>National: Multi-media condom &amp; HTS dampaign; Young adults, 20-34; HIV incidence (%): 0.3; USD/person/year: 1; Effect: 3%;</v>
      </c>
    </row>
    <row r="16" spans="2:20" ht="25.5" customHeight="1" x14ac:dyDescent="0.25">
      <c r="B16" s="21" t="s">
        <v>44</v>
      </c>
      <c r="C16" s="17" t="s">
        <v>7</v>
      </c>
      <c r="D16" s="17" t="s">
        <v>73</v>
      </c>
      <c r="E16" s="18">
        <v>4</v>
      </c>
      <c r="F16" s="18">
        <v>130</v>
      </c>
      <c r="G16" s="19">
        <v>0.6</v>
      </c>
      <c r="H16" s="25">
        <v>40000</v>
      </c>
      <c r="I16" s="23">
        <f t="shared" si="0"/>
        <v>7692.3076923076924</v>
      </c>
      <c r="J16" s="24">
        <f t="shared" si="1"/>
        <v>307.69230769230768</v>
      </c>
      <c r="K16" s="24">
        <f t="shared" si="2"/>
        <v>184.61538461538461</v>
      </c>
      <c r="L16" s="24">
        <f t="shared" si="3"/>
        <v>5200000</v>
      </c>
      <c r="M16" s="24">
        <f t="shared" si="4"/>
        <v>1600</v>
      </c>
      <c r="N16" s="24">
        <f t="shared" si="5"/>
        <v>960</v>
      </c>
      <c r="O16" s="20">
        <f t="shared" si="6"/>
        <v>8.791208791208792</v>
      </c>
      <c r="P16" s="24">
        <f t="shared" si="7"/>
        <v>5416.666666666667</v>
      </c>
      <c r="T16" t="str">
        <f t="shared" si="8"/>
        <v>National: PrEP, condoms+, peer-led, structural; Sex workers; HIV incidence (%): 4; USD/person/year: 130; Effect: 60%;</v>
      </c>
    </row>
    <row r="17" spans="2:20" ht="25.5" customHeight="1" x14ac:dyDescent="0.25">
      <c r="B17" s="21" t="s">
        <v>44</v>
      </c>
      <c r="C17" s="17" t="s">
        <v>7</v>
      </c>
      <c r="D17" s="17" t="s">
        <v>74</v>
      </c>
      <c r="E17" s="18">
        <v>4</v>
      </c>
      <c r="F17" s="18">
        <v>70</v>
      </c>
      <c r="G17" s="19">
        <v>0.3</v>
      </c>
      <c r="H17" s="25">
        <v>40000</v>
      </c>
      <c r="I17" s="23">
        <f t="shared" si="0"/>
        <v>14285.714285714286</v>
      </c>
      <c r="J17" s="24">
        <f t="shared" si="1"/>
        <v>571.42857142857144</v>
      </c>
      <c r="K17" s="24">
        <f t="shared" si="2"/>
        <v>171.42857142857142</v>
      </c>
      <c r="L17" s="24">
        <f t="shared" si="3"/>
        <v>2800000</v>
      </c>
      <c r="M17" s="24">
        <f t="shared" si="4"/>
        <v>1600</v>
      </c>
      <c r="N17" s="24">
        <f t="shared" si="5"/>
        <v>480</v>
      </c>
      <c r="O17" s="20">
        <f t="shared" si="6"/>
        <v>8.1632653061224474</v>
      </c>
      <c r="P17" s="24">
        <f t="shared" si="7"/>
        <v>5833.3333333333339</v>
      </c>
      <c r="T17" t="str">
        <f t="shared" si="8"/>
        <v>National: Condoms+ peer-led outreach, structural; Sex workers; HIV incidence (%): 4; USD/person/year: 70; Effect: 30%;</v>
      </c>
    </row>
    <row r="18" spans="2:20" ht="25.5" customHeight="1" x14ac:dyDescent="0.25">
      <c r="B18" s="21" t="s">
        <v>44</v>
      </c>
      <c r="C18" s="17" t="s">
        <v>52</v>
      </c>
      <c r="D18" s="17" t="s">
        <v>75</v>
      </c>
      <c r="E18" s="18">
        <v>2.5</v>
      </c>
      <c r="F18" s="18">
        <v>100</v>
      </c>
      <c r="G18" s="19">
        <v>0.6</v>
      </c>
      <c r="H18" s="25">
        <v>35000</v>
      </c>
      <c r="I18" s="23">
        <f t="shared" si="0"/>
        <v>10000</v>
      </c>
      <c r="J18" s="24">
        <f t="shared" si="1"/>
        <v>250</v>
      </c>
      <c r="K18" s="24">
        <f t="shared" si="2"/>
        <v>150</v>
      </c>
      <c r="L18" s="24">
        <f t="shared" si="3"/>
        <v>3500000</v>
      </c>
      <c r="M18" s="24">
        <f t="shared" si="4"/>
        <v>875</v>
      </c>
      <c r="N18" s="24">
        <f t="shared" si="5"/>
        <v>525</v>
      </c>
      <c r="O18" s="20">
        <f t="shared" si="6"/>
        <v>7.1428571428571432</v>
      </c>
      <c r="P18" s="24">
        <f t="shared" si="7"/>
        <v>6666.666666666667</v>
      </c>
      <c r="T18" t="str">
        <f t="shared" si="8"/>
        <v>National: PrEP, condoms+, virtual/ peer-led, structural; Men who have sex with men with non-reg partner; HIV incidence (%): 2.5; USD/person/year: 100; Effect: 60%;</v>
      </c>
    </row>
    <row r="19" spans="2:20" ht="25.5" customHeight="1" x14ac:dyDescent="0.25">
      <c r="B19" s="21" t="s">
        <v>44</v>
      </c>
      <c r="C19" s="17" t="s">
        <v>52</v>
      </c>
      <c r="D19" s="17" t="s">
        <v>76</v>
      </c>
      <c r="E19" s="18">
        <v>2.5</v>
      </c>
      <c r="F19" s="18">
        <v>50</v>
      </c>
      <c r="G19" s="19">
        <v>0.25</v>
      </c>
      <c r="H19" s="25">
        <v>35000</v>
      </c>
      <c r="I19" s="23">
        <f t="shared" si="0"/>
        <v>20000</v>
      </c>
      <c r="J19" s="24">
        <f t="shared" si="1"/>
        <v>500</v>
      </c>
      <c r="K19" s="24">
        <f t="shared" si="2"/>
        <v>125</v>
      </c>
      <c r="L19" s="24">
        <f t="shared" si="3"/>
        <v>1750000</v>
      </c>
      <c r="M19" s="24">
        <f t="shared" si="4"/>
        <v>875</v>
      </c>
      <c r="N19" s="24">
        <f t="shared" si="5"/>
        <v>218.75</v>
      </c>
      <c r="O19" s="20">
        <f t="shared" si="6"/>
        <v>5.9523809523809526</v>
      </c>
      <c r="P19" s="24">
        <f t="shared" si="7"/>
        <v>8000</v>
      </c>
      <c r="T19" t="str">
        <f t="shared" si="8"/>
        <v>National: Condoms+ peer-led/virtual outreach, structural; Men who have sex with men with non-reg partner; HIV incidence (%): 2.5; USD/person/year: 50; Effect: 25%;</v>
      </c>
    </row>
    <row r="20" spans="2:20" ht="25.5" customHeight="1" x14ac:dyDescent="0.25">
      <c r="B20" s="21" t="s">
        <v>44</v>
      </c>
      <c r="C20" s="17" t="s">
        <v>51</v>
      </c>
      <c r="D20" s="17" t="s">
        <v>77</v>
      </c>
      <c r="E20" s="18">
        <v>3</v>
      </c>
      <c r="F20" s="18">
        <v>80</v>
      </c>
      <c r="G20" s="19">
        <v>0.35</v>
      </c>
      <c r="H20" s="25">
        <v>20000</v>
      </c>
      <c r="I20" s="23">
        <f t="shared" si="0"/>
        <v>12500</v>
      </c>
      <c r="J20" s="24">
        <f t="shared" si="1"/>
        <v>375</v>
      </c>
      <c r="K20" s="24">
        <f t="shared" si="2"/>
        <v>131.25</v>
      </c>
      <c r="L20" s="24">
        <f t="shared" si="3"/>
        <v>1600000</v>
      </c>
      <c r="M20" s="24">
        <f t="shared" si="4"/>
        <v>600</v>
      </c>
      <c r="N20" s="24">
        <f t="shared" si="5"/>
        <v>210</v>
      </c>
      <c r="O20" s="20">
        <f t="shared" si="6"/>
        <v>6.25</v>
      </c>
      <c r="P20" s="24">
        <f t="shared" si="7"/>
        <v>7619.0476190476193</v>
      </c>
      <c r="T20" t="str">
        <f t="shared" si="8"/>
        <v>National: Needles, syringes, peer-led outreach, structural; People who inject drugs; HIV incidence (%): 3; USD/person/year: 80; Effect: 35%;</v>
      </c>
    </row>
    <row r="21" spans="2:20" ht="25.5" customHeight="1" x14ac:dyDescent="0.25">
      <c r="B21" s="21" t="s">
        <v>44</v>
      </c>
      <c r="C21" s="17" t="s">
        <v>51</v>
      </c>
      <c r="D21" s="17" t="s">
        <v>78</v>
      </c>
      <c r="E21" s="18">
        <v>3</v>
      </c>
      <c r="F21" s="18">
        <v>250</v>
      </c>
      <c r="G21" s="19">
        <v>0.7</v>
      </c>
      <c r="H21" s="25">
        <v>20000</v>
      </c>
      <c r="I21" s="23">
        <f t="shared" si="0"/>
        <v>4000</v>
      </c>
      <c r="J21" s="24">
        <f t="shared" si="1"/>
        <v>120</v>
      </c>
      <c r="K21" s="24">
        <f t="shared" si="2"/>
        <v>84</v>
      </c>
      <c r="L21" s="24">
        <f t="shared" si="3"/>
        <v>5000000</v>
      </c>
      <c r="M21" s="24">
        <f t="shared" si="4"/>
        <v>600</v>
      </c>
      <c r="N21" s="24">
        <f t="shared" si="5"/>
        <v>420</v>
      </c>
      <c r="O21" s="20">
        <f t="shared" si="6"/>
        <v>4</v>
      </c>
      <c r="P21" s="24">
        <f t="shared" si="7"/>
        <v>11904.761904761905</v>
      </c>
      <c r="T21" t="str">
        <f t="shared" si="8"/>
        <v>National: OAT, needles, syringes, peer-led outreach, structural; People who inject drugs; HIV incidence (%): 3; USD/person/year: 250; Effect: 70%;</v>
      </c>
    </row>
    <row r="24" spans="2:20" x14ac:dyDescent="0.25">
      <c r="B24" s="31" t="s">
        <v>61</v>
      </c>
    </row>
    <row r="26" spans="2:20" ht="40.5" customHeight="1" x14ac:dyDescent="0.25">
      <c r="B26" s="46" t="s">
        <v>60</v>
      </c>
      <c r="C26" s="46"/>
      <c r="D26" s="46"/>
      <c r="E26" s="46"/>
      <c r="F26" s="46"/>
      <c r="G26" s="46"/>
      <c r="H26" s="46"/>
      <c r="I26" s="46"/>
      <c r="J26" s="46"/>
      <c r="K26" s="46"/>
      <c r="L26" s="46"/>
      <c r="M26" s="46"/>
      <c r="N26" s="46"/>
      <c r="O26" s="46"/>
      <c r="P26" s="46"/>
    </row>
    <row r="27" spans="2:20" ht="20.25" customHeight="1" x14ac:dyDescent="0.25">
      <c r="B27" s="46"/>
      <c r="C27" s="46"/>
      <c r="D27" s="46"/>
      <c r="E27" s="46"/>
      <c r="F27" s="46"/>
      <c r="G27" s="46"/>
      <c r="H27" s="46"/>
      <c r="I27" s="46"/>
      <c r="J27" s="46"/>
      <c r="K27" s="46"/>
      <c r="L27" s="46"/>
      <c r="M27" s="46"/>
      <c r="N27" s="46"/>
      <c r="O27" s="46"/>
      <c r="P27" s="46"/>
    </row>
    <row r="28" spans="2:20" x14ac:dyDescent="0.25">
      <c r="B28" s="13"/>
      <c r="C28" s="13"/>
      <c r="D28" s="13"/>
      <c r="E28" s="13"/>
      <c r="F28" s="13"/>
      <c r="G28" s="13"/>
      <c r="I28" s="13"/>
      <c r="J28" s="13"/>
      <c r="K28" s="13"/>
      <c r="O28" s="13"/>
      <c r="P28" s="13"/>
    </row>
    <row r="29" spans="2:20" ht="25.5" customHeight="1" x14ac:dyDescent="0.25">
      <c r="B29" s="46" t="s">
        <v>63</v>
      </c>
      <c r="C29" s="46"/>
      <c r="D29" s="46"/>
      <c r="E29" s="46"/>
      <c r="F29" s="46"/>
      <c r="G29" s="46"/>
      <c r="H29" s="46"/>
      <c r="I29" s="46"/>
      <c r="J29" s="46"/>
      <c r="K29" s="46"/>
      <c r="L29" s="46"/>
      <c r="M29" s="46"/>
      <c r="N29" s="46"/>
      <c r="O29" s="46"/>
      <c r="P29" s="46"/>
    </row>
    <row r="30" spans="2:20" x14ac:dyDescent="0.25">
      <c r="B30" s="13"/>
      <c r="C30" s="13"/>
      <c r="D30" s="13"/>
      <c r="E30" s="13"/>
      <c r="F30" s="13"/>
      <c r="G30" s="13"/>
      <c r="I30" s="13"/>
      <c r="J30" s="13"/>
      <c r="K30" s="13"/>
      <c r="O30" s="13"/>
      <c r="P30" s="13"/>
    </row>
    <row r="31" spans="2:20" s="30" customFormat="1" ht="15.75" customHeight="1" x14ac:dyDescent="0.2">
      <c r="B31" s="27" t="s">
        <v>57</v>
      </c>
      <c r="C31" s="28"/>
      <c r="D31" s="28"/>
      <c r="E31" s="28"/>
      <c r="F31" s="28"/>
      <c r="G31" s="28"/>
      <c r="I31" s="28"/>
      <c r="J31" s="28"/>
      <c r="K31" s="28"/>
      <c r="O31" s="28"/>
      <c r="P31" s="28"/>
    </row>
    <row r="32" spans="2:20" s="30" customFormat="1" ht="15.75" customHeight="1" x14ac:dyDescent="0.2">
      <c r="B32" s="29" t="s">
        <v>55</v>
      </c>
      <c r="C32" s="28"/>
      <c r="D32" s="28"/>
      <c r="E32" s="28"/>
      <c r="F32" s="28"/>
      <c r="G32" s="28"/>
      <c r="H32" s="29"/>
      <c r="I32" s="28"/>
      <c r="J32" s="28"/>
      <c r="K32" s="28"/>
      <c r="O32" s="28"/>
      <c r="P32" s="28"/>
    </row>
    <row r="33" spans="2:16" s="30" customFormat="1" ht="15.75" customHeight="1" x14ac:dyDescent="0.2">
      <c r="B33" s="29"/>
      <c r="C33" s="28"/>
      <c r="D33" s="28"/>
      <c r="E33" s="28"/>
      <c r="F33" s="28"/>
      <c r="G33" s="28"/>
      <c r="H33" s="29"/>
      <c r="I33" s="28"/>
      <c r="J33" s="28"/>
      <c r="K33" s="28"/>
      <c r="O33" s="28"/>
      <c r="P33" s="28"/>
    </row>
    <row r="34" spans="2:16" x14ac:dyDescent="0.25">
      <c r="B34" s="30" t="s">
        <v>58</v>
      </c>
    </row>
    <row r="35" spans="2:16" x14ac:dyDescent="0.25">
      <c r="B35" s="29" t="s">
        <v>56</v>
      </c>
    </row>
    <row r="37" spans="2:16" x14ac:dyDescent="0.25">
      <c r="B37" s="30" t="s">
        <v>59</v>
      </c>
    </row>
    <row r="39" spans="2:16" x14ac:dyDescent="0.25">
      <c r="B39" s="30" t="s">
        <v>66</v>
      </c>
    </row>
    <row r="41" spans="2:16" x14ac:dyDescent="0.25">
      <c r="B41" s="30" t="s">
        <v>71</v>
      </c>
    </row>
  </sheetData>
  <mergeCells count="7">
    <mergeCell ref="B29:P29"/>
    <mergeCell ref="I4:K4"/>
    <mergeCell ref="B4:D4"/>
    <mergeCell ref="L4:N4"/>
    <mergeCell ref="B26:P27"/>
    <mergeCell ref="E4:H4"/>
    <mergeCell ref="O4:P4"/>
  </mergeCells>
  <phoneticPr fontId="8" type="noConversion"/>
  <conditionalFormatting sqref="O6:O21">
    <cfRule type="colorScale" priority="6">
      <colorScale>
        <cfvo type="min"/>
        <cfvo type="percentile" val="50"/>
        <cfvo type="max"/>
        <color rgb="FFF8696B"/>
        <color rgb="FFFFEB84"/>
        <color rgb="FF63BE7B"/>
      </colorScale>
    </cfRule>
  </conditionalFormatting>
  <conditionalFormatting sqref="P6:P21">
    <cfRule type="colorScale" priority="1">
      <colorScale>
        <cfvo type="min"/>
        <cfvo type="percentile" val="50"/>
        <cfvo type="max"/>
        <color rgb="FF63BE7B"/>
        <color rgb="FFFFEB84"/>
        <color rgb="FFF8696B"/>
      </colorScale>
    </cfRule>
  </conditionalFormatting>
  <hyperlinks>
    <hyperlink ref="B32" r:id="rId1" display="https://hivpreventioncoalition.unaids.org/en/resources/sub-national-hiv-estimates-priority-populations-tool" xr:uid="{3133BDF1-3362-45C2-A54B-CB4C25B961C8}"/>
    <hyperlink ref="B35" r:id="rId2" display="https://pubmed.ncbi.nlm.nih.gov/38180737/" xr:uid="{34497A59-1C24-4913-A6C4-0B46FFB84101}"/>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28417-66B4-4BFA-BEEE-3540897DC3E9}">
  <dimension ref="B1:AN51"/>
  <sheetViews>
    <sheetView topLeftCell="J16" workbookViewId="0">
      <selection activeCell="M72" sqref="M72"/>
    </sheetView>
  </sheetViews>
  <sheetFormatPr defaultRowHeight="15" x14ac:dyDescent="0.25"/>
  <cols>
    <col min="1" max="1" width="3.28515625" customWidth="1"/>
    <col min="2" max="2" width="11.28515625" hidden="1" customWidth="1"/>
    <col min="3" max="3" width="14.28515625" customWidth="1"/>
    <col min="4" max="4" width="42" customWidth="1"/>
    <col min="5" max="5" width="12.7109375" customWidth="1"/>
    <col min="6" max="6" width="9.140625" customWidth="1"/>
    <col min="7" max="7" width="7" customWidth="1"/>
    <col min="8" max="8" width="10.5703125" customWidth="1"/>
    <col min="9" max="9" width="11" customWidth="1"/>
    <col min="10" max="10" width="8.85546875" customWidth="1"/>
    <col min="11" max="11" width="10.42578125" customWidth="1"/>
    <col min="12" max="12" width="11.5703125" customWidth="1"/>
    <col min="13" max="13" width="14.140625" customWidth="1"/>
    <col min="14" max="15" width="11.5703125" customWidth="1"/>
    <col min="16" max="16" width="9.7109375" customWidth="1"/>
    <col min="17" max="22" width="8" customWidth="1"/>
    <col min="23" max="31" width="8.5703125" customWidth="1"/>
    <col min="32" max="40" width="7.85546875" customWidth="1"/>
  </cols>
  <sheetData>
    <row r="1" spans="2:40" ht="18.75" x14ac:dyDescent="0.3">
      <c r="B1" s="26" t="s">
        <v>79</v>
      </c>
      <c r="I1" s="33"/>
    </row>
    <row r="2" spans="2:40" ht="6.75" customHeight="1" x14ac:dyDescent="0.25"/>
    <row r="3" spans="2:40" ht="18.75" x14ac:dyDescent="0.3">
      <c r="B3" s="32" t="s">
        <v>62</v>
      </c>
      <c r="C3" s="39" t="s">
        <v>95</v>
      </c>
    </row>
    <row r="4" spans="2:40" x14ac:dyDescent="0.25">
      <c r="B4" s="32"/>
      <c r="C4" s="47"/>
      <c r="D4" s="48"/>
      <c r="E4" s="49"/>
      <c r="F4" s="61" t="s">
        <v>91</v>
      </c>
      <c r="G4" s="48"/>
      <c r="H4" s="49"/>
      <c r="I4" s="47"/>
      <c r="J4" s="48"/>
      <c r="K4" s="34"/>
    </row>
    <row r="5" spans="2:40" ht="18.75" x14ac:dyDescent="0.3">
      <c r="B5" s="32"/>
      <c r="C5" s="62" t="s">
        <v>89</v>
      </c>
      <c r="D5" s="63"/>
      <c r="E5" s="64" t="s">
        <v>90</v>
      </c>
      <c r="F5" s="65">
        <v>10000</v>
      </c>
      <c r="G5" s="66"/>
      <c r="H5" s="67"/>
      <c r="I5" s="47"/>
      <c r="J5" s="48"/>
      <c r="K5" s="34"/>
      <c r="M5" s="39" t="s">
        <v>88</v>
      </c>
    </row>
    <row r="6" spans="2:40" x14ac:dyDescent="0.25">
      <c r="B6" s="32"/>
      <c r="C6" s="47"/>
      <c r="D6" s="48"/>
      <c r="E6" s="49"/>
      <c r="F6" s="47"/>
      <c r="G6" s="48"/>
      <c r="H6" s="49"/>
      <c r="I6" s="47"/>
      <c r="J6" s="48"/>
      <c r="K6" s="34"/>
    </row>
    <row r="7" spans="2:40" x14ac:dyDescent="0.25">
      <c r="B7" s="47" t="s">
        <v>38</v>
      </c>
      <c r="C7" s="48"/>
      <c r="D7" s="49"/>
      <c r="E7" s="47" t="s">
        <v>36</v>
      </c>
      <c r="F7" s="48"/>
      <c r="G7" s="48"/>
      <c r="H7" s="47" t="s">
        <v>34</v>
      </c>
      <c r="I7" s="48"/>
      <c r="J7" s="49"/>
      <c r="K7" s="35"/>
      <c r="M7" s="56" t="s">
        <v>87</v>
      </c>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row>
    <row r="8" spans="2:40" ht="63.75" x14ac:dyDescent="0.25">
      <c r="B8" s="14"/>
      <c r="C8" s="15" t="s">
        <v>80</v>
      </c>
      <c r="D8" s="15" t="s">
        <v>81</v>
      </c>
      <c r="E8" s="15" t="s">
        <v>25</v>
      </c>
      <c r="F8" s="15" t="s">
        <v>15</v>
      </c>
      <c r="G8" s="15" t="s">
        <v>11</v>
      </c>
      <c r="H8" s="15" t="s">
        <v>33</v>
      </c>
      <c r="I8" s="15" t="s">
        <v>35</v>
      </c>
      <c r="J8" s="15" t="s">
        <v>13</v>
      </c>
      <c r="K8" s="15" t="s">
        <v>64</v>
      </c>
      <c r="M8" s="36" t="s">
        <v>87</v>
      </c>
      <c r="N8" s="15" t="s">
        <v>15</v>
      </c>
      <c r="O8" s="15" t="s">
        <v>11</v>
      </c>
      <c r="P8" s="36">
        <v>0.2</v>
      </c>
      <c r="Q8" s="36">
        <v>0.4</v>
      </c>
      <c r="R8" s="36">
        <v>0.6</v>
      </c>
      <c r="S8" s="36">
        <v>0.8</v>
      </c>
      <c r="T8" s="36">
        <v>1</v>
      </c>
      <c r="U8" s="36">
        <v>1.2</v>
      </c>
      <c r="V8" s="36">
        <v>1.4</v>
      </c>
      <c r="W8" s="36">
        <v>1.6</v>
      </c>
      <c r="X8" s="36">
        <v>1.8</v>
      </c>
      <c r="Y8" s="36">
        <v>2</v>
      </c>
      <c r="Z8" s="36">
        <v>2.2000000000000002</v>
      </c>
      <c r="AA8" s="36">
        <v>2.4</v>
      </c>
      <c r="AB8" s="36">
        <v>2.6</v>
      </c>
      <c r="AC8" s="36">
        <v>2.8</v>
      </c>
      <c r="AD8" s="36">
        <v>3</v>
      </c>
      <c r="AE8" s="36">
        <v>3.2</v>
      </c>
      <c r="AF8" s="36">
        <v>3.4</v>
      </c>
      <c r="AG8" s="36">
        <v>3.6</v>
      </c>
      <c r="AH8" s="36">
        <v>3.8</v>
      </c>
      <c r="AI8" s="36">
        <v>4</v>
      </c>
      <c r="AJ8" s="36">
        <v>4.2</v>
      </c>
      <c r="AK8" s="36">
        <v>4.4000000000000004</v>
      </c>
      <c r="AL8" s="36">
        <v>4.5999999999999996</v>
      </c>
      <c r="AM8" s="36">
        <v>4.8</v>
      </c>
      <c r="AN8" s="36">
        <v>5</v>
      </c>
    </row>
    <row r="9" spans="2:40" ht="25.5" customHeight="1" x14ac:dyDescent="0.25">
      <c r="B9" s="16"/>
      <c r="C9" s="17" t="s">
        <v>82</v>
      </c>
      <c r="D9" s="17" t="s">
        <v>86</v>
      </c>
      <c r="E9" s="38">
        <f>F9/K9/G9*100</f>
        <v>0.25</v>
      </c>
      <c r="F9" s="18">
        <v>10</v>
      </c>
      <c r="G9" s="19">
        <v>0.4</v>
      </c>
      <c r="H9" s="23">
        <f>1000000/F9</f>
        <v>100000</v>
      </c>
      <c r="I9" s="24">
        <f>H9*E9/100</f>
        <v>250</v>
      </c>
      <c r="J9" s="24">
        <f>1000000/K9</f>
        <v>100</v>
      </c>
      <c r="K9" s="24">
        <f>$F$5</f>
        <v>10000</v>
      </c>
      <c r="M9" s="17" t="s">
        <v>82</v>
      </c>
      <c r="N9" s="18">
        <v>10</v>
      </c>
      <c r="O9" s="19">
        <v>0.4</v>
      </c>
      <c r="P9" s="37">
        <f t="shared" ref="P9:AN11" si="0">$N9/(P$8/100*$O9)</f>
        <v>12500</v>
      </c>
      <c r="Q9" s="37">
        <f t="shared" si="0"/>
        <v>6250</v>
      </c>
      <c r="R9" s="37">
        <f t="shared" si="0"/>
        <v>4166.6666666666661</v>
      </c>
      <c r="S9" s="37">
        <f t="shared" si="0"/>
        <v>3125</v>
      </c>
      <c r="T9" s="37">
        <f t="shared" si="0"/>
        <v>2500</v>
      </c>
      <c r="U9" s="37">
        <f t="shared" si="0"/>
        <v>2083.333333333333</v>
      </c>
      <c r="V9" s="37">
        <f t="shared" si="0"/>
        <v>1785.7142857142858</v>
      </c>
      <c r="W9" s="37">
        <f t="shared" si="0"/>
        <v>1562.5</v>
      </c>
      <c r="X9" s="37">
        <f t="shared" si="0"/>
        <v>1388.8888888888887</v>
      </c>
      <c r="Y9" s="37">
        <f t="shared" si="0"/>
        <v>1250</v>
      </c>
      <c r="Z9" s="37">
        <f t="shared" si="0"/>
        <v>1136.3636363636363</v>
      </c>
      <c r="AA9" s="37">
        <f t="shared" si="0"/>
        <v>1041.6666666666665</v>
      </c>
      <c r="AB9" s="37">
        <f t="shared" si="0"/>
        <v>961.53846153846143</v>
      </c>
      <c r="AC9" s="37">
        <f t="shared" si="0"/>
        <v>892.85714285714289</v>
      </c>
      <c r="AD9" s="37">
        <f t="shared" si="0"/>
        <v>833.33333333333337</v>
      </c>
      <c r="AE9" s="37">
        <f t="shared" si="0"/>
        <v>781.25</v>
      </c>
      <c r="AF9" s="37">
        <f t="shared" si="0"/>
        <v>735.29411764705878</v>
      </c>
      <c r="AG9" s="37">
        <f t="shared" si="0"/>
        <v>694.44444444444434</v>
      </c>
      <c r="AH9" s="37">
        <f t="shared" si="0"/>
        <v>657.89473684210532</v>
      </c>
      <c r="AI9" s="37">
        <f t="shared" si="0"/>
        <v>625</v>
      </c>
      <c r="AJ9" s="37">
        <f t="shared" si="0"/>
        <v>595.23809523809518</v>
      </c>
      <c r="AK9" s="37">
        <f t="shared" si="0"/>
        <v>568.18181818181813</v>
      </c>
      <c r="AL9" s="37">
        <f t="shared" si="0"/>
        <v>543.47826086956525</v>
      </c>
      <c r="AM9" s="37">
        <f t="shared" si="0"/>
        <v>520.83333333333326</v>
      </c>
      <c r="AN9" s="37">
        <f t="shared" si="0"/>
        <v>499.99999999999989</v>
      </c>
    </row>
    <row r="10" spans="2:40" ht="25.5" customHeight="1" x14ac:dyDescent="0.25">
      <c r="B10" s="16"/>
      <c r="C10" s="17" t="s">
        <v>94</v>
      </c>
      <c r="D10" s="17" t="s">
        <v>84</v>
      </c>
      <c r="E10" s="38">
        <f t="shared" ref="E10:E11" si="1">F10/K10/G10*100</f>
        <v>1.1666666666666667</v>
      </c>
      <c r="F10" s="18">
        <v>70</v>
      </c>
      <c r="G10" s="19">
        <v>0.6</v>
      </c>
      <c r="H10" s="23">
        <f>1000000/F10</f>
        <v>14285.714285714286</v>
      </c>
      <c r="I10" s="24">
        <f>H10*E10/100</f>
        <v>166.66666666666669</v>
      </c>
      <c r="J10" s="24">
        <f t="shared" ref="J10:J11" si="2">1000000/K10</f>
        <v>100</v>
      </c>
      <c r="K10" s="24">
        <f t="shared" ref="K10:K11" si="3">$F$5</f>
        <v>10000</v>
      </c>
      <c r="M10" s="17" t="s">
        <v>94</v>
      </c>
      <c r="N10" s="18">
        <v>70</v>
      </c>
      <c r="O10" s="19">
        <v>0.6</v>
      </c>
      <c r="P10" s="37">
        <f t="shared" ref="P10:AE11" si="4">$N10/(P$8/100*$O10)</f>
        <v>58333.333333333336</v>
      </c>
      <c r="Q10" s="37">
        <f t="shared" si="4"/>
        <v>29166.666666666668</v>
      </c>
      <c r="R10" s="37">
        <f t="shared" si="4"/>
        <v>19444.444444444445</v>
      </c>
      <c r="S10" s="37">
        <f t="shared" si="4"/>
        <v>14583.333333333334</v>
      </c>
      <c r="T10" s="37">
        <f t="shared" si="4"/>
        <v>11666.666666666666</v>
      </c>
      <c r="U10" s="37">
        <f t="shared" si="4"/>
        <v>9722.2222222222226</v>
      </c>
      <c r="V10" s="37">
        <f t="shared" si="4"/>
        <v>8333.3333333333339</v>
      </c>
      <c r="W10" s="37">
        <f t="shared" si="4"/>
        <v>7291.666666666667</v>
      </c>
      <c r="X10" s="37">
        <f t="shared" si="4"/>
        <v>6481.4814814814808</v>
      </c>
      <c r="Y10" s="37">
        <f t="shared" si="4"/>
        <v>5833.333333333333</v>
      </c>
      <c r="Z10" s="37">
        <f t="shared" si="4"/>
        <v>5303.0303030303021</v>
      </c>
      <c r="AA10" s="37">
        <f t="shared" si="4"/>
        <v>4861.1111111111113</v>
      </c>
      <c r="AB10" s="37">
        <f t="shared" si="4"/>
        <v>4487.1794871794873</v>
      </c>
      <c r="AC10" s="37">
        <f t="shared" si="4"/>
        <v>4166.666666666667</v>
      </c>
      <c r="AD10" s="37">
        <f t="shared" si="4"/>
        <v>3888.8888888888891</v>
      </c>
      <c r="AE10" s="37">
        <f t="shared" si="4"/>
        <v>3645.8333333333335</v>
      </c>
      <c r="AF10" s="37">
        <f t="shared" si="0"/>
        <v>3431.3725490196075</v>
      </c>
      <c r="AG10" s="37">
        <f t="shared" si="0"/>
        <v>3240.7407407407404</v>
      </c>
      <c r="AH10" s="37">
        <f t="shared" si="0"/>
        <v>3070.1754385964914</v>
      </c>
      <c r="AI10" s="37">
        <f t="shared" si="0"/>
        <v>2916.6666666666665</v>
      </c>
      <c r="AJ10" s="37">
        <f t="shared" si="0"/>
        <v>2777.7777777777778</v>
      </c>
      <c r="AK10" s="37">
        <f t="shared" si="0"/>
        <v>2651.515151515151</v>
      </c>
      <c r="AL10" s="37">
        <f t="shared" si="0"/>
        <v>2536.231884057971</v>
      </c>
      <c r="AM10" s="37">
        <f t="shared" si="0"/>
        <v>2430.5555555555557</v>
      </c>
      <c r="AN10" s="37">
        <f t="shared" si="0"/>
        <v>2333.3333333333335</v>
      </c>
    </row>
    <row r="11" spans="2:40" ht="25.5" customHeight="1" x14ac:dyDescent="0.25">
      <c r="B11" s="16"/>
      <c r="C11" s="17" t="s">
        <v>83</v>
      </c>
      <c r="D11" s="17" t="s">
        <v>85</v>
      </c>
      <c r="E11" s="38">
        <f t="shared" si="1"/>
        <v>1.9999999999999998</v>
      </c>
      <c r="F11" s="18">
        <v>180</v>
      </c>
      <c r="G11" s="19">
        <v>0.9</v>
      </c>
      <c r="H11" s="23">
        <f>1000000/F11</f>
        <v>5555.5555555555557</v>
      </c>
      <c r="I11" s="24">
        <f>H11*E11/100</f>
        <v>111.1111111111111</v>
      </c>
      <c r="J11" s="24">
        <f t="shared" si="2"/>
        <v>100</v>
      </c>
      <c r="K11" s="24">
        <f t="shared" si="3"/>
        <v>10000</v>
      </c>
      <c r="M11" s="17" t="s">
        <v>83</v>
      </c>
      <c r="N11" s="18">
        <v>180</v>
      </c>
      <c r="O11" s="19">
        <v>0.9</v>
      </c>
      <c r="P11" s="37">
        <f t="shared" si="4"/>
        <v>99999.999999999985</v>
      </c>
      <c r="Q11" s="37">
        <f t="shared" si="4"/>
        <v>49999.999999999993</v>
      </c>
      <c r="R11" s="37">
        <f t="shared" si="4"/>
        <v>33333.333333333328</v>
      </c>
      <c r="S11" s="37">
        <f t="shared" si="4"/>
        <v>24999.999999999996</v>
      </c>
      <c r="T11" s="37">
        <f t="shared" si="4"/>
        <v>19999.999999999996</v>
      </c>
      <c r="U11" s="37">
        <f t="shared" si="4"/>
        <v>16666.666666666664</v>
      </c>
      <c r="V11" s="37">
        <f t="shared" si="4"/>
        <v>14285.714285714288</v>
      </c>
      <c r="W11" s="37">
        <f t="shared" si="0"/>
        <v>12499.999999999998</v>
      </c>
      <c r="X11" s="37">
        <f t="shared" si="0"/>
        <v>11111.111111111109</v>
      </c>
      <c r="Y11" s="37">
        <f t="shared" si="0"/>
        <v>9999.9999999999982</v>
      </c>
      <c r="Z11" s="37">
        <f t="shared" si="0"/>
        <v>9090.9090909090901</v>
      </c>
      <c r="AA11" s="37">
        <f t="shared" si="0"/>
        <v>8333.3333333333321</v>
      </c>
      <c r="AB11" s="37">
        <f t="shared" si="0"/>
        <v>7692.3076923076906</v>
      </c>
      <c r="AC11" s="37">
        <f t="shared" si="0"/>
        <v>7142.857142857144</v>
      </c>
      <c r="AD11" s="37">
        <f t="shared" si="0"/>
        <v>6666.666666666667</v>
      </c>
      <c r="AE11" s="37">
        <f t="shared" si="0"/>
        <v>6249.9999999999991</v>
      </c>
      <c r="AF11" s="37">
        <f t="shared" si="0"/>
        <v>5882.3529411764703</v>
      </c>
      <c r="AG11" s="37">
        <f t="shared" si="0"/>
        <v>5555.5555555555547</v>
      </c>
      <c r="AH11" s="37">
        <f t="shared" si="0"/>
        <v>5263.1578947368416</v>
      </c>
      <c r="AI11" s="37">
        <f t="shared" si="0"/>
        <v>4999.9999999999991</v>
      </c>
      <c r="AJ11" s="37">
        <f t="shared" si="0"/>
        <v>4761.9047619047615</v>
      </c>
      <c r="AK11" s="37">
        <f t="shared" si="0"/>
        <v>4545.454545454545</v>
      </c>
      <c r="AL11" s="37">
        <f t="shared" si="0"/>
        <v>4347.826086956522</v>
      </c>
      <c r="AM11" s="37">
        <f t="shared" si="0"/>
        <v>4166.6666666666661</v>
      </c>
      <c r="AN11" s="37">
        <f t="shared" si="0"/>
        <v>3999.9999999999995</v>
      </c>
    </row>
    <row r="12" spans="2:40" ht="27.75" customHeight="1" x14ac:dyDescent="0.25">
      <c r="M12" s="58" t="s">
        <v>93</v>
      </c>
      <c r="N12" s="59"/>
      <c r="O12" s="60"/>
      <c r="P12" s="37">
        <f>$F$5</f>
        <v>10000</v>
      </c>
      <c r="Q12" s="37">
        <f t="shared" ref="Q12:AN12" si="5">$F$5</f>
        <v>10000</v>
      </c>
      <c r="R12" s="37">
        <f t="shared" si="5"/>
        <v>10000</v>
      </c>
      <c r="S12" s="37">
        <f t="shared" si="5"/>
        <v>10000</v>
      </c>
      <c r="T12" s="37">
        <f t="shared" si="5"/>
        <v>10000</v>
      </c>
      <c r="U12" s="37">
        <f t="shared" si="5"/>
        <v>10000</v>
      </c>
      <c r="V12" s="37">
        <f t="shared" si="5"/>
        <v>10000</v>
      </c>
      <c r="W12" s="37">
        <f t="shared" si="5"/>
        <v>10000</v>
      </c>
      <c r="X12" s="37">
        <f t="shared" si="5"/>
        <v>10000</v>
      </c>
      <c r="Y12" s="37">
        <f t="shared" si="5"/>
        <v>10000</v>
      </c>
      <c r="Z12" s="37">
        <f t="shared" si="5"/>
        <v>10000</v>
      </c>
      <c r="AA12" s="37">
        <f t="shared" si="5"/>
        <v>10000</v>
      </c>
      <c r="AB12" s="37">
        <f t="shared" si="5"/>
        <v>10000</v>
      </c>
      <c r="AC12" s="37">
        <f t="shared" si="5"/>
        <v>10000</v>
      </c>
      <c r="AD12" s="37">
        <f t="shared" si="5"/>
        <v>10000</v>
      </c>
      <c r="AE12" s="37">
        <f t="shared" si="5"/>
        <v>10000</v>
      </c>
      <c r="AF12" s="37">
        <f t="shared" si="5"/>
        <v>10000</v>
      </c>
      <c r="AG12" s="37">
        <f t="shared" si="5"/>
        <v>10000</v>
      </c>
      <c r="AH12" s="37">
        <f t="shared" si="5"/>
        <v>10000</v>
      </c>
      <c r="AI12" s="37">
        <f t="shared" si="5"/>
        <v>10000</v>
      </c>
      <c r="AJ12" s="37">
        <f t="shared" si="5"/>
        <v>10000</v>
      </c>
      <c r="AK12" s="37">
        <f t="shared" si="5"/>
        <v>10000</v>
      </c>
      <c r="AL12" s="37">
        <f t="shared" si="5"/>
        <v>10000</v>
      </c>
      <c r="AM12" s="37">
        <f t="shared" si="5"/>
        <v>10000</v>
      </c>
      <c r="AN12" s="37">
        <f t="shared" si="5"/>
        <v>10000</v>
      </c>
    </row>
    <row r="14" spans="2:40" x14ac:dyDescent="0.25">
      <c r="B14" s="31" t="s">
        <v>61</v>
      </c>
    </row>
    <row r="16" spans="2:40" ht="40.5" customHeight="1" x14ac:dyDescent="0.25">
      <c r="B16" s="46" t="s">
        <v>60</v>
      </c>
      <c r="C16" s="46"/>
      <c r="D16" s="46"/>
      <c r="E16" s="46"/>
      <c r="F16" s="46"/>
      <c r="G16" s="46"/>
      <c r="H16" s="46"/>
      <c r="I16" s="46"/>
      <c r="J16" s="46"/>
      <c r="K16" s="46"/>
    </row>
    <row r="17" spans="2:15" ht="32.25" customHeight="1" x14ac:dyDescent="0.25">
      <c r="B17" s="46"/>
      <c r="C17" s="46"/>
      <c r="D17" s="46"/>
      <c r="E17" s="46"/>
      <c r="F17" s="46"/>
      <c r="G17" s="46"/>
      <c r="H17" s="46"/>
      <c r="I17" s="46"/>
      <c r="J17" s="46"/>
      <c r="K17" s="46"/>
    </row>
    <row r="18" spans="2:15" x14ac:dyDescent="0.25">
      <c r="B18" s="13"/>
      <c r="C18" s="13"/>
      <c r="D18" s="13"/>
      <c r="E18" s="13"/>
      <c r="F18" s="13"/>
      <c r="G18" s="13"/>
      <c r="H18" s="13"/>
      <c r="I18" s="13"/>
      <c r="J18" s="13"/>
      <c r="K18" s="13"/>
    </row>
    <row r="19" spans="2:15" ht="25.5" customHeight="1" x14ac:dyDescent="0.25"/>
    <row r="21" spans="2:15" s="30" customFormat="1" ht="15.75" customHeight="1" x14ac:dyDescent="0.25">
      <c r="B21"/>
      <c r="C21"/>
      <c r="D21"/>
      <c r="E21"/>
      <c r="F21"/>
      <c r="G21"/>
      <c r="H21"/>
      <c r="I21"/>
      <c r="J21"/>
      <c r="K21"/>
      <c r="O21" s="30" t="s">
        <v>92</v>
      </c>
    </row>
    <row r="22" spans="2:15" s="30" customFormat="1" x14ac:dyDescent="0.25">
      <c r="B22"/>
      <c r="C22"/>
      <c r="D22"/>
      <c r="E22"/>
      <c r="F22"/>
      <c r="G22"/>
      <c r="H22"/>
      <c r="I22"/>
      <c r="J22"/>
      <c r="K22"/>
    </row>
    <row r="23" spans="2:15" s="30" customFormat="1" ht="15.75" customHeight="1" x14ac:dyDescent="0.25">
      <c r="B23"/>
      <c r="C23"/>
      <c r="D23"/>
      <c r="E23"/>
      <c r="F23"/>
      <c r="G23"/>
      <c r="H23"/>
      <c r="I23"/>
      <c r="J23"/>
      <c r="K23"/>
    </row>
    <row r="28" spans="2:15" x14ac:dyDescent="0.25">
      <c r="B28" s="30"/>
    </row>
    <row r="29" spans="2:15" x14ac:dyDescent="0.25">
      <c r="B29" s="29"/>
    </row>
    <row r="31" spans="2:15" x14ac:dyDescent="0.25">
      <c r="B31" s="30"/>
    </row>
    <row r="33" spans="2:34" x14ac:dyDescent="0.25">
      <c r="B33" s="30"/>
    </row>
    <row r="35" spans="2:34" x14ac:dyDescent="0.25">
      <c r="B35" s="30"/>
    </row>
    <row r="41" spans="2:34" ht="38.25" customHeight="1" x14ac:dyDescent="0.25">
      <c r="M41" s="43" t="s">
        <v>87</v>
      </c>
      <c r="N41" s="40"/>
      <c r="O41" s="40"/>
      <c r="P41" s="54" t="s">
        <v>98</v>
      </c>
      <c r="Q41" s="50"/>
      <c r="R41" s="50"/>
      <c r="S41" s="50"/>
      <c r="T41" s="50"/>
      <c r="U41" s="50"/>
      <c r="V41" s="50"/>
      <c r="W41" s="50"/>
      <c r="X41" s="50"/>
      <c r="Y41" s="50"/>
      <c r="Z41" s="50"/>
      <c r="AA41" s="50"/>
      <c r="AB41" s="50"/>
      <c r="AC41" s="50"/>
      <c r="AD41" s="50"/>
      <c r="AE41" s="50"/>
      <c r="AF41" s="50"/>
      <c r="AG41" s="50"/>
      <c r="AH41" s="50"/>
    </row>
    <row r="42" spans="2:34" x14ac:dyDescent="0.25">
      <c r="M42" s="17" t="s">
        <v>82</v>
      </c>
      <c r="P42" s="41">
        <f>5</f>
        <v>5</v>
      </c>
      <c r="Q42" s="42">
        <f>P42+10</f>
        <v>15</v>
      </c>
      <c r="R42" s="42">
        <f t="shared" ref="R42:AH42" si="6">Q42+10</f>
        <v>25</v>
      </c>
      <c r="S42" s="42">
        <f t="shared" si="6"/>
        <v>35</v>
      </c>
      <c r="T42" s="42">
        <f t="shared" si="6"/>
        <v>45</v>
      </c>
      <c r="U42" s="42">
        <f t="shared" si="6"/>
        <v>55</v>
      </c>
      <c r="V42" s="42">
        <f t="shared" si="6"/>
        <v>65</v>
      </c>
      <c r="W42" s="42">
        <f t="shared" si="6"/>
        <v>75</v>
      </c>
      <c r="X42" s="42">
        <f t="shared" si="6"/>
        <v>85</v>
      </c>
      <c r="Y42" s="42">
        <f t="shared" si="6"/>
        <v>95</v>
      </c>
      <c r="Z42" s="42">
        <f t="shared" si="6"/>
        <v>105</v>
      </c>
      <c r="AA42" s="42">
        <f t="shared" si="6"/>
        <v>115</v>
      </c>
      <c r="AB42" s="42">
        <f t="shared" si="6"/>
        <v>125</v>
      </c>
      <c r="AC42" s="42">
        <f t="shared" si="6"/>
        <v>135</v>
      </c>
      <c r="AD42" s="42">
        <f t="shared" si="6"/>
        <v>145</v>
      </c>
      <c r="AE42" s="42">
        <f t="shared" si="6"/>
        <v>155</v>
      </c>
      <c r="AF42" s="42">
        <f t="shared" si="6"/>
        <v>165</v>
      </c>
      <c r="AG42" s="42">
        <f t="shared" si="6"/>
        <v>175</v>
      </c>
      <c r="AH42" s="42">
        <f t="shared" si="6"/>
        <v>185</v>
      </c>
    </row>
    <row r="43" spans="2:34" x14ac:dyDescent="0.25">
      <c r="M43" s="17" t="s">
        <v>94</v>
      </c>
      <c r="P43" s="41">
        <v>35</v>
      </c>
      <c r="Q43" s="42">
        <f>P43+10</f>
        <v>45</v>
      </c>
      <c r="R43" s="42">
        <f t="shared" ref="R43:AF43" si="7">Q43+10</f>
        <v>55</v>
      </c>
      <c r="S43" s="42">
        <f t="shared" si="7"/>
        <v>65</v>
      </c>
      <c r="T43" s="42">
        <f t="shared" si="7"/>
        <v>75</v>
      </c>
      <c r="U43" s="42">
        <f t="shared" si="7"/>
        <v>85</v>
      </c>
      <c r="V43" s="42">
        <f t="shared" si="7"/>
        <v>95</v>
      </c>
      <c r="W43" s="42">
        <f t="shared" si="7"/>
        <v>105</v>
      </c>
      <c r="X43" s="42">
        <f t="shared" si="7"/>
        <v>115</v>
      </c>
      <c r="Y43" s="42">
        <f t="shared" si="7"/>
        <v>125</v>
      </c>
      <c r="Z43" s="42">
        <f t="shared" si="7"/>
        <v>135</v>
      </c>
      <c r="AA43" s="42">
        <f t="shared" si="7"/>
        <v>145</v>
      </c>
      <c r="AB43" s="42">
        <f t="shared" si="7"/>
        <v>155</v>
      </c>
      <c r="AC43" s="42">
        <f t="shared" si="7"/>
        <v>165</v>
      </c>
      <c r="AD43" s="42">
        <f t="shared" si="7"/>
        <v>175</v>
      </c>
      <c r="AE43" s="42">
        <f t="shared" si="7"/>
        <v>185</v>
      </c>
      <c r="AF43" s="42">
        <f t="shared" si="7"/>
        <v>195</v>
      </c>
      <c r="AG43" s="42">
        <f t="shared" ref="AG43:AH43" si="8">AF43+10</f>
        <v>205</v>
      </c>
      <c r="AH43" s="42">
        <f t="shared" si="8"/>
        <v>215</v>
      </c>
    </row>
    <row r="44" spans="2:34" x14ac:dyDescent="0.25">
      <c r="M44" s="17" t="s">
        <v>96</v>
      </c>
      <c r="P44" s="17">
        <v>90</v>
      </c>
      <c r="Q44" s="42">
        <f>P44+10</f>
        <v>100</v>
      </c>
      <c r="R44" s="42">
        <f t="shared" ref="R44:AF44" si="9">Q44+10</f>
        <v>110</v>
      </c>
      <c r="S44" s="42">
        <f t="shared" si="9"/>
        <v>120</v>
      </c>
      <c r="T44" s="42">
        <f t="shared" si="9"/>
        <v>130</v>
      </c>
      <c r="U44" s="42">
        <f t="shared" si="9"/>
        <v>140</v>
      </c>
      <c r="V44" s="42">
        <f t="shared" si="9"/>
        <v>150</v>
      </c>
      <c r="W44" s="42">
        <f t="shared" si="9"/>
        <v>160</v>
      </c>
      <c r="X44" s="42">
        <f t="shared" si="9"/>
        <v>170</v>
      </c>
      <c r="Y44" s="42">
        <f t="shared" si="9"/>
        <v>180</v>
      </c>
      <c r="Z44" s="42">
        <f t="shared" si="9"/>
        <v>190</v>
      </c>
      <c r="AA44" s="42">
        <f t="shared" si="9"/>
        <v>200</v>
      </c>
      <c r="AB44" s="42">
        <f t="shared" si="9"/>
        <v>210</v>
      </c>
      <c r="AC44" s="42">
        <f t="shared" si="9"/>
        <v>220</v>
      </c>
      <c r="AD44" s="42">
        <f t="shared" si="9"/>
        <v>230</v>
      </c>
      <c r="AE44" s="42">
        <f t="shared" si="9"/>
        <v>240</v>
      </c>
      <c r="AF44" s="42">
        <f t="shared" si="9"/>
        <v>250</v>
      </c>
      <c r="AG44" s="17">
        <v>180</v>
      </c>
      <c r="AH44" s="17">
        <v>180</v>
      </c>
    </row>
    <row r="46" spans="2:34" ht="16.5" customHeight="1" x14ac:dyDescent="0.25">
      <c r="M46" s="55" t="s">
        <v>97</v>
      </c>
      <c r="N46" s="55"/>
      <c r="O46" s="55"/>
      <c r="P46" s="55"/>
      <c r="Q46" s="55"/>
      <c r="R46" s="55"/>
      <c r="S46" s="55"/>
      <c r="T46" s="55"/>
      <c r="U46" s="55"/>
      <c r="V46" s="55"/>
      <c r="W46" s="55"/>
      <c r="X46" s="55"/>
      <c r="Y46" s="55"/>
      <c r="Z46" s="55"/>
      <c r="AA46" s="55"/>
      <c r="AB46" s="55"/>
      <c r="AC46" s="55"/>
    </row>
    <row r="47" spans="2:34" ht="16.5" customHeight="1" x14ac:dyDescent="0.25">
      <c r="M47" s="52" t="s">
        <v>100</v>
      </c>
      <c r="N47" s="50" t="s">
        <v>101</v>
      </c>
      <c r="O47" s="50" t="s">
        <v>102</v>
      </c>
      <c r="P47" s="50" t="s">
        <v>99</v>
      </c>
      <c r="Q47" s="50"/>
      <c r="R47" s="50"/>
      <c r="S47" s="50"/>
      <c r="T47" s="50"/>
      <c r="U47" s="50"/>
      <c r="V47" s="50"/>
      <c r="W47" s="50"/>
      <c r="X47" s="50"/>
      <c r="Y47" s="50"/>
      <c r="Z47" s="50"/>
      <c r="AA47" s="50"/>
      <c r="AB47" s="50"/>
      <c r="AC47" s="50"/>
      <c r="AD47" s="50"/>
      <c r="AE47" s="50"/>
    </row>
    <row r="48" spans="2:34" ht="57" customHeight="1" x14ac:dyDescent="0.25">
      <c r="M48" s="53"/>
      <c r="N48" s="51"/>
      <c r="O48" s="51"/>
      <c r="P48" s="36" t="str">
        <f t="shared" ref="P48:AE48" si="10">"USD "&amp;P42&amp;" / USD "&amp;P43</f>
        <v>USD 5 / USD 35</v>
      </c>
      <c r="Q48" s="36" t="str">
        <f t="shared" si="10"/>
        <v>USD 15 / USD 45</v>
      </c>
      <c r="R48" s="36" t="str">
        <f t="shared" si="10"/>
        <v>USD 25 / USD 55</v>
      </c>
      <c r="S48" s="36" t="str">
        <f t="shared" si="10"/>
        <v>USD 35 / USD 65</v>
      </c>
      <c r="T48" s="36" t="str">
        <f t="shared" si="10"/>
        <v>USD 45 / USD 75</v>
      </c>
      <c r="U48" s="36" t="str">
        <f t="shared" si="10"/>
        <v>USD 55 / USD 85</v>
      </c>
      <c r="V48" s="36" t="str">
        <f t="shared" si="10"/>
        <v>USD 65 / USD 95</v>
      </c>
      <c r="W48" s="36" t="str">
        <f t="shared" si="10"/>
        <v>USD 75 / USD 105</v>
      </c>
      <c r="X48" s="36" t="str">
        <f t="shared" si="10"/>
        <v>USD 85 / USD 115</v>
      </c>
      <c r="Y48" s="36" t="str">
        <f t="shared" si="10"/>
        <v>USD 95 / USD 125</v>
      </c>
      <c r="Z48" s="36" t="str">
        <f t="shared" si="10"/>
        <v>USD 105 / USD 135</v>
      </c>
      <c r="AA48" s="36" t="str">
        <f t="shared" si="10"/>
        <v>USD 115 / USD 145</v>
      </c>
      <c r="AB48" s="36" t="str">
        <f t="shared" si="10"/>
        <v>USD 125 / USD 155</v>
      </c>
      <c r="AC48" s="36" t="str">
        <f t="shared" si="10"/>
        <v>USD 135 / USD 165</v>
      </c>
      <c r="AD48" s="36" t="str">
        <f t="shared" si="10"/>
        <v>USD 145 / USD 175</v>
      </c>
      <c r="AE48" s="36" t="str">
        <f t="shared" si="10"/>
        <v>USD 155 / USD 185</v>
      </c>
    </row>
    <row r="49" spans="13:31" x14ac:dyDescent="0.25">
      <c r="M49" s="17" t="s">
        <v>82</v>
      </c>
      <c r="N49" s="41">
        <v>1</v>
      </c>
      <c r="O49" s="44">
        <v>0.4</v>
      </c>
      <c r="P49" s="45">
        <f>P42*(100/$N49/$O49)</f>
        <v>1250</v>
      </c>
      <c r="Q49" s="45">
        <f t="shared" ref="Q49:AE49" si="11">Q42*(100/$N49/$O49)</f>
        <v>3750</v>
      </c>
      <c r="R49" s="45">
        <f t="shared" si="11"/>
        <v>6250</v>
      </c>
      <c r="S49" s="45">
        <f t="shared" si="11"/>
        <v>8750</v>
      </c>
      <c r="T49" s="45">
        <f t="shared" si="11"/>
        <v>11250</v>
      </c>
      <c r="U49" s="45">
        <f t="shared" si="11"/>
        <v>13750</v>
      </c>
      <c r="V49" s="45">
        <f t="shared" si="11"/>
        <v>16250</v>
      </c>
      <c r="W49" s="45">
        <f t="shared" si="11"/>
        <v>18750</v>
      </c>
      <c r="X49" s="45">
        <f t="shared" si="11"/>
        <v>21250</v>
      </c>
      <c r="Y49" s="45">
        <f t="shared" si="11"/>
        <v>23750</v>
      </c>
      <c r="Z49" s="45">
        <f t="shared" si="11"/>
        <v>26250</v>
      </c>
      <c r="AA49" s="45">
        <f t="shared" si="11"/>
        <v>28750</v>
      </c>
      <c r="AB49" s="45">
        <f t="shared" si="11"/>
        <v>31250</v>
      </c>
      <c r="AC49" s="45">
        <f t="shared" si="11"/>
        <v>33750</v>
      </c>
      <c r="AD49" s="45">
        <f t="shared" si="11"/>
        <v>36250</v>
      </c>
      <c r="AE49" s="45">
        <f t="shared" si="11"/>
        <v>38750</v>
      </c>
    </row>
    <row r="50" spans="13:31" x14ac:dyDescent="0.25">
      <c r="M50" s="17" t="s">
        <v>94</v>
      </c>
      <c r="N50" s="41">
        <v>1</v>
      </c>
      <c r="O50" s="44">
        <v>0.6</v>
      </c>
      <c r="P50" s="45">
        <f t="shared" ref="P50:AE51" si="12">P43*(100/$N50/$O50)</f>
        <v>5833.3333333333339</v>
      </c>
      <c r="Q50" s="45">
        <f t="shared" si="12"/>
        <v>7500.0000000000009</v>
      </c>
      <c r="R50" s="45">
        <f t="shared" si="12"/>
        <v>9166.6666666666679</v>
      </c>
      <c r="S50" s="45">
        <f t="shared" si="12"/>
        <v>10833.333333333334</v>
      </c>
      <c r="T50" s="45">
        <f t="shared" si="12"/>
        <v>12500.000000000002</v>
      </c>
      <c r="U50" s="45">
        <f t="shared" si="12"/>
        <v>14166.666666666668</v>
      </c>
      <c r="V50" s="45">
        <f t="shared" si="12"/>
        <v>15833.333333333336</v>
      </c>
      <c r="W50" s="45">
        <f t="shared" si="12"/>
        <v>17500.000000000004</v>
      </c>
      <c r="X50" s="45">
        <f t="shared" si="12"/>
        <v>19166.666666666668</v>
      </c>
      <c r="Y50" s="45">
        <f t="shared" si="12"/>
        <v>20833.333333333336</v>
      </c>
      <c r="Z50" s="45">
        <f t="shared" si="12"/>
        <v>22500.000000000004</v>
      </c>
      <c r="AA50" s="45">
        <f t="shared" si="12"/>
        <v>24166.666666666668</v>
      </c>
      <c r="AB50" s="45">
        <f t="shared" si="12"/>
        <v>25833.333333333336</v>
      </c>
      <c r="AC50" s="45">
        <f t="shared" si="12"/>
        <v>27500.000000000004</v>
      </c>
      <c r="AD50" s="45">
        <f t="shared" si="12"/>
        <v>29166.666666666672</v>
      </c>
      <c r="AE50" s="45">
        <f t="shared" si="12"/>
        <v>30833.333333333336</v>
      </c>
    </row>
    <row r="51" spans="13:31" x14ac:dyDescent="0.25">
      <c r="M51" s="17" t="s">
        <v>96</v>
      </c>
      <c r="N51" s="41">
        <v>1</v>
      </c>
      <c r="O51" s="44">
        <v>0.9</v>
      </c>
      <c r="P51" s="45">
        <f t="shared" si="12"/>
        <v>10000</v>
      </c>
      <c r="Q51" s="45">
        <f t="shared" si="12"/>
        <v>11111.111111111111</v>
      </c>
      <c r="R51" s="45">
        <f t="shared" si="12"/>
        <v>12222.222222222223</v>
      </c>
      <c r="S51" s="45">
        <f t="shared" si="12"/>
        <v>13333.333333333334</v>
      </c>
      <c r="T51" s="45">
        <f t="shared" si="12"/>
        <v>14444.444444444445</v>
      </c>
      <c r="U51" s="45">
        <f t="shared" si="12"/>
        <v>15555.555555555557</v>
      </c>
      <c r="V51" s="45">
        <f t="shared" si="12"/>
        <v>16666.666666666668</v>
      </c>
      <c r="W51" s="45">
        <f t="shared" si="12"/>
        <v>17777.777777777777</v>
      </c>
      <c r="X51" s="45">
        <f t="shared" si="12"/>
        <v>18888.888888888891</v>
      </c>
      <c r="Y51" s="45">
        <f t="shared" si="12"/>
        <v>20000</v>
      </c>
      <c r="Z51" s="45">
        <f t="shared" si="12"/>
        <v>21111.111111111113</v>
      </c>
      <c r="AA51" s="45">
        <f t="shared" si="12"/>
        <v>22222.222222222223</v>
      </c>
      <c r="AB51" s="45">
        <f t="shared" si="12"/>
        <v>23333.333333333336</v>
      </c>
      <c r="AC51" s="45">
        <f t="shared" si="12"/>
        <v>24444.444444444445</v>
      </c>
      <c r="AD51" s="45">
        <f t="shared" si="12"/>
        <v>25555.555555555555</v>
      </c>
      <c r="AE51" s="45">
        <f t="shared" si="12"/>
        <v>26666.666666666668</v>
      </c>
    </row>
  </sheetData>
  <mergeCells count="21">
    <mergeCell ref="B16:K17"/>
    <mergeCell ref="M7:AN7"/>
    <mergeCell ref="M12:O12"/>
    <mergeCell ref="C4:E4"/>
    <mergeCell ref="F4:H4"/>
    <mergeCell ref="I4:J4"/>
    <mergeCell ref="C5:E5"/>
    <mergeCell ref="F5:H5"/>
    <mergeCell ref="I5:J5"/>
    <mergeCell ref="C6:E6"/>
    <mergeCell ref="F6:H6"/>
    <mergeCell ref="I6:J6"/>
    <mergeCell ref="B7:D7"/>
    <mergeCell ref="E7:G7"/>
    <mergeCell ref="H7:J7"/>
    <mergeCell ref="P47:AE47"/>
    <mergeCell ref="O47:O48"/>
    <mergeCell ref="N47:N48"/>
    <mergeCell ref="M47:M48"/>
    <mergeCell ref="P41:AH41"/>
    <mergeCell ref="M46:AC46"/>
  </mergeCells>
  <conditionalFormatting sqref="K21:K23">
    <cfRule type="colorScale" priority="2">
      <colorScale>
        <cfvo type="min"/>
        <cfvo type="percentile" val="50"/>
        <cfvo type="max"/>
        <color rgb="FF63BE7B"/>
        <color rgb="FFFFEB84"/>
        <color rgb="FFF8696B"/>
      </colorScale>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178D9-B6BF-4A04-8DB1-6E02A2E5BF2B}">
  <dimension ref="B2:M9"/>
  <sheetViews>
    <sheetView topLeftCell="A5" workbookViewId="0">
      <selection activeCell="T8" sqref="T6:V8"/>
    </sheetView>
  </sheetViews>
  <sheetFormatPr defaultRowHeight="15" x14ac:dyDescent="0.25"/>
  <cols>
    <col min="1" max="1" width="3.28515625" customWidth="1"/>
    <col min="2" max="2" width="8.85546875" customWidth="1"/>
    <col min="3" max="3" width="11.42578125" customWidth="1"/>
    <col min="4" max="4" width="14.140625" customWidth="1"/>
    <col min="5" max="5" width="9.42578125" customWidth="1"/>
    <col min="6" max="6" width="8.7109375" customWidth="1"/>
    <col min="7" max="7" width="9.140625" customWidth="1"/>
    <col min="8" max="8" width="6.85546875" customWidth="1"/>
    <col min="9" max="9" width="8.42578125" customWidth="1"/>
    <col min="10" max="11" width="8.85546875" customWidth="1"/>
    <col min="12" max="12" width="7.5703125" customWidth="1"/>
    <col min="13" max="13" width="9.7109375" customWidth="1"/>
  </cols>
  <sheetData>
    <row r="2" spans="2:13" x14ac:dyDescent="0.25">
      <c r="F2" t="s">
        <v>26</v>
      </c>
    </row>
    <row r="3" spans="2:13" ht="38.25" x14ac:dyDescent="0.25">
      <c r="B3" s="6"/>
      <c r="C3" s="7" t="s">
        <v>4</v>
      </c>
      <c r="D3" s="7" t="s">
        <v>8</v>
      </c>
      <c r="E3" s="7" t="str">
        <f>Tool!E5</f>
        <v>HIV incidence (%)</v>
      </c>
      <c r="F3" s="7" t="s">
        <v>25</v>
      </c>
      <c r="G3" s="7" t="s">
        <v>15</v>
      </c>
      <c r="H3" s="7" t="s">
        <v>11</v>
      </c>
      <c r="I3" s="7" t="s">
        <v>12</v>
      </c>
      <c r="J3" s="7" t="s">
        <v>14</v>
      </c>
      <c r="K3" s="7" t="s">
        <v>13</v>
      </c>
      <c r="L3" s="9" t="s">
        <v>23</v>
      </c>
      <c r="M3" s="9" t="s">
        <v>27</v>
      </c>
    </row>
    <row r="4" spans="2:13" ht="39" customHeight="1" x14ac:dyDescent="0.25">
      <c r="B4" s="1" t="s">
        <v>0</v>
      </c>
      <c r="C4" s="12" t="s">
        <v>6</v>
      </c>
      <c r="D4" s="12" t="s">
        <v>24</v>
      </c>
      <c r="E4" s="12">
        <f>Tool!E12</f>
        <v>0.15</v>
      </c>
      <c r="F4" s="2">
        <v>2.5</v>
      </c>
      <c r="G4" s="2">
        <v>150</v>
      </c>
      <c r="H4" s="10">
        <v>0.3</v>
      </c>
      <c r="I4" s="3">
        <f>1000000/G4</f>
        <v>6666.666666666667</v>
      </c>
      <c r="J4" s="4">
        <f>I4*F4/100</f>
        <v>166.66666666666669</v>
      </c>
      <c r="K4" s="8">
        <f>J4*H4</f>
        <v>50.000000000000007</v>
      </c>
      <c r="L4" s="11">
        <f>K4/MAX(Tool!K$12:K$17)*10</f>
        <v>2.7083333333333339</v>
      </c>
      <c r="M4" s="3">
        <f>1000000/K4</f>
        <v>19999.999999999996</v>
      </c>
    </row>
    <row r="5" spans="2:13" ht="39" customHeight="1" x14ac:dyDescent="0.25">
      <c r="B5" s="1" t="s">
        <v>1</v>
      </c>
      <c r="C5" s="12" t="s">
        <v>6</v>
      </c>
      <c r="D5" s="12" t="s">
        <v>9</v>
      </c>
      <c r="E5" s="12">
        <f>Tool!E9</f>
        <v>0.9</v>
      </c>
      <c r="F5" s="2">
        <v>2.5</v>
      </c>
      <c r="G5" s="2">
        <v>100</v>
      </c>
      <c r="H5" s="10">
        <v>0.6</v>
      </c>
      <c r="I5" s="3">
        <f t="shared" ref="I5:I9" si="0">1000000/G5</f>
        <v>10000</v>
      </c>
      <c r="J5" s="4">
        <f t="shared" ref="J5:J9" si="1">I5*F5/100</f>
        <v>250</v>
      </c>
      <c r="K5" s="8">
        <f t="shared" ref="K5:K9" si="2">J5*H5</f>
        <v>150</v>
      </c>
      <c r="L5" s="11">
        <f>K5/MAX(Tool!K$12:K$17)*10</f>
        <v>8.125</v>
      </c>
      <c r="M5" s="3">
        <f t="shared" ref="M5:M9" si="3">1000000/K5</f>
        <v>6666.666666666667</v>
      </c>
    </row>
    <row r="6" spans="2:13" ht="39" customHeight="1" x14ac:dyDescent="0.25">
      <c r="B6" s="1" t="s">
        <v>2</v>
      </c>
      <c r="C6" s="12" t="s">
        <v>7</v>
      </c>
      <c r="D6" s="12" t="s">
        <v>18</v>
      </c>
      <c r="E6" s="12">
        <f>Tool!E16</f>
        <v>4</v>
      </c>
      <c r="F6" s="2">
        <v>4.5</v>
      </c>
      <c r="G6" s="2">
        <v>100</v>
      </c>
      <c r="H6" s="10">
        <v>0.6</v>
      </c>
      <c r="I6" s="3">
        <f t="shared" si="0"/>
        <v>10000</v>
      </c>
      <c r="J6" s="4">
        <f t="shared" si="1"/>
        <v>450</v>
      </c>
      <c r="K6" s="8">
        <f t="shared" si="2"/>
        <v>270</v>
      </c>
      <c r="L6" s="11">
        <f>K6/MAX(Tool!K$12:K$17)*10</f>
        <v>14.625</v>
      </c>
      <c r="M6" s="3">
        <f t="shared" si="3"/>
        <v>3703.7037037037039</v>
      </c>
    </row>
    <row r="7" spans="2:13" ht="39" customHeight="1" x14ac:dyDescent="0.25">
      <c r="B7" s="1" t="s">
        <v>3</v>
      </c>
      <c r="C7" s="12" t="s">
        <v>5</v>
      </c>
      <c r="D7" s="12" t="s">
        <v>10</v>
      </c>
      <c r="E7" s="12">
        <f>Tool!E6</f>
        <v>0.3</v>
      </c>
      <c r="F7" s="2">
        <v>1.1000000000000001</v>
      </c>
      <c r="G7" s="2">
        <v>12</v>
      </c>
      <c r="H7" s="10">
        <v>0.3</v>
      </c>
      <c r="I7" s="3">
        <f t="shared" si="0"/>
        <v>83333.333333333328</v>
      </c>
      <c r="J7" s="4">
        <f t="shared" si="1"/>
        <v>916.66666666666674</v>
      </c>
      <c r="K7" s="8">
        <f t="shared" si="2"/>
        <v>275</v>
      </c>
      <c r="L7" s="11">
        <f>K7/MAX(Tool!K$12:K$17)*10</f>
        <v>14.895833333333332</v>
      </c>
      <c r="M7" s="3">
        <f t="shared" si="3"/>
        <v>3636.3636363636365</v>
      </c>
    </row>
    <row r="8" spans="2:13" ht="39" customHeight="1" x14ac:dyDescent="0.25">
      <c r="B8" s="1" t="s">
        <v>16</v>
      </c>
      <c r="C8" s="12" t="s">
        <v>17</v>
      </c>
      <c r="D8" s="12" t="s">
        <v>19</v>
      </c>
      <c r="E8" s="12" t="e">
        <f>Tool!#REF!</f>
        <v>#REF!</v>
      </c>
      <c r="F8" s="2">
        <v>3</v>
      </c>
      <c r="G8" s="2">
        <v>65</v>
      </c>
      <c r="H8" s="10">
        <v>0.6</v>
      </c>
      <c r="I8" s="5">
        <f t="shared" si="0"/>
        <v>15384.615384615385</v>
      </c>
      <c r="J8" s="4">
        <f t="shared" si="1"/>
        <v>461.53846153846155</v>
      </c>
      <c r="K8" s="8">
        <f t="shared" si="2"/>
        <v>276.92307692307691</v>
      </c>
      <c r="L8" s="11">
        <f>K8/MAX(Tool!K$12:K$17)*10</f>
        <v>15</v>
      </c>
      <c r="M8" s="5">
        <f t="shared" si="3"/>
        <v>3611.1111111111113</v>
      </c>
    </row>
    <row r="9" spans="2:13" ht="39.6" customHeight="1" x14ac:dyDescent="0.25">
      <c r="B9" s="1" t="s">
        <v>20</v>
      </c>
      <c r="C9" s="12" t="s">
        <v>21</v>
      </c>
      <c r="D9" s="12" t="s">
        <v>22</v>
      </c>
      <c r="E9" s="12" t="e">
        <f>Tool!#REF!</f>
        <v>#REF!</v>
      </c>
      <c r="F9" s="2">
        <v>2.5</v>
      </c>
      <c r="G9" s="2">
        <v>75</v>
      </c>
      <c r="H9" s="10">
        <v>0.6</v>
      </c>
      <c r="I9" s="5">
        <f t="shared" si="0"/>
        <v>13333.333333333334</v>
      </c>
      <c r="J9" s="4">
        <f t="shared" si="1"/>
        <v>333.33333333333337</v>
      </c>
      <c r="K9" s="8">
        <f t="shared" si="2"/>
        <v>200.00000000000003</v>
      </c>
      <c r="L9" s="11">
        <f>K9/MAX(Tool!K$12:K$17)*10</f>
        <v>10.833333333333336</v>
      </c>
      <c r="M9" s="5">
        <f t="shared" si="3"/>
        <v>4999.9999999999991</v>
      </c>
    </row>
  </sheetData>
  <conditionalFormatting sqref="L4:L9">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1"/>
</worksheet>
</file>

<file path=docMetadata/LabelInfo.xml><?xml version="1.0" encoding="utf-8"?>
<clbl:labelList xmlns:clbl="http://schemas.microsoft.com/office/2020/mipLabelMetadata">
  <clbl:label id="{c2e1cf9b-e1b6-44eb-8021-428c292d3eb5}" enabled="0" method="" siteId="{c2e1cf9b-e1b6-44eb-8021-428c292d3eb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Tool</vt:lpstr>
      <vt:lpstr>Condoms-PrEP simple</vt:lpstr>
      <vt:lpstr>Copy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BENEDIKT, Clemens</dc:creator>
  <cp:lastModifiedBy>BENEDIKT, Clemens</cp:lastModifiedBy>
  <dcterms:created xsi:type="dcterms:W3CDTF">2022-10-19T09:03:54Z</dcterms:created>
  <dcterms:modified xsi:type="dcterms:W3CDTF">2025-06-05T11:18:58Z</dcterms:modified>
</cp:coreProperties>
</file>